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4720" windowHeight="11985" tabRatio="676" activeTab="3"/>
  </bookViews>
  <sheets>
    <sheet name="Home" sheetId="1" r:id="rId1"/>
    <sheet name="Introduction" sheetId="2" r:id="rId2"/>
    <sheet name="Basis of Costs" sheetId="3" r:id="rId3"/>
    <sheet name="Cost of Attendance" sheetId="4" r:id="rId4"/>
    <sheet name="School DATA" sheetId="5" state="hidden" r:id="rId5"/>
    <sheet name="Visa Letter (Office use only)" sheetId="6" r:id="rId6"/>
    <sheet name="Private (Office use only)" sheetId="7" state="hidden" r:id="rId7"/>
  </sheets>
  <definedNames>
    <definedName name="_xlnm.Print_Area" localSheetId="3">'Cost of Attendance'!$A$1:$E$99</definedName>
    <definedName name="_xlnm.Print_Area" localSheetId="6">'Private (Office use only)'!$A$1:$B$52</definedName>
    <definedName name="_xlnm.Print_Area" localSheetId="5">'Visa Letter (Office use only)'!$A$1:$C$54</definedName>
  </definedNames>
  <calcPr fullCalcOnLoad="1"/>
</workbook>
</file>

<file path=xl/sharedStrings.xml><?xml version="1.0" encoding="utf-8"?>
<sst xmlns="http://schemas.openxmlformats.org/spreadsheetml/2006/main" count="420" uniqueCount="375">
  <si>
    <t>What is you EFC (top right of front page of SAR) Even zero must be entered</t>
  </si>
  <si>
    <t>Room - Rent</t>
  </si>
  <si>
    <t>Personal</t>
  </si>
  <si>
    <t>Cost of 2 return flights - write here - only in £</t>
  </si>
  <si>
    <t>Add any other essential costs - write here - only in £</t>
  </si>
  <si>
    <t>Books &amp; Copying</t>
  </si>
  <si>
    <t>Y</t>
  </si>
  <si>
    <t>N</t>
  </si>
  <si>
    <t>Application/Student Number</t>
  </si>
  <si>
    <t>Sub</t>
  </si>
  <si>
    <t>postgraduates</t>
  </si>
  <si>
    <t>Undergraduate1</t>
  </si>
  <si>
    <t>Undergraduate2</t>
  </si>
  <si>
    <t>Law</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</si>
  <si>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</si>
  <si>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</si>
  <si>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</si>
  <si>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</si>
  <si>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</si>
  <si>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</si>
  <si>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</si>
  <si>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</si>
  <si>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</si>
  <si>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</si>
  <si>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</si>
  <si>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</si>
  <si>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</si>
  <si>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</si>
  <si>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</si>
  <si>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</si>
  <si>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</si>
  <si>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</si>
  <si>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</si>
  <si>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</si>
  <si>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</si>
  <si>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</si>
  <si>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</si>
  <si>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</si>
  <si>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</si>
  <si>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Other Essential Costs</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</si>
  <si>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</si>
  <si>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</si>
  <si>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</si>
  <si>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</si>
  <si>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</si>
  <si>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</si>
  <si>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</si>
  <si>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</si>
  <si>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</si>
  <si>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</si>
  <si>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</si>
  <si>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</si>
  <si>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</si>
  <si>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</si>
  <si>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</si>
  <si>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</si>
  <si>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</si>
  <si>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</si>
  <si>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</si>
  <si>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</si>
  <si>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</si>
  <si>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</si>
  <si>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</si>
  <si>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</si>
  <si>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</si>
  <si>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Undergrad Courses which could get Postgrad funding</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</si>
  <si>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</si>
  <si>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</si>
  <si>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</si>
  <si>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</si>
  <si>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</si>
  <si>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</si>
  <si>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</si>
  <si>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</si>
  <si>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</si>
  <si>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</si>
  <si>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</si>
  <si>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</si>
  <si>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</si>
  <si>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</si>
  <si>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Your Request</t>
  </si>
  <si>
    <t>Total Requested Cost of Attendance</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</si>
  <si>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</si>
  <si>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</si>
  <si>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</si>
  <si>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</si>
  <si>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</si>
  <si>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Total</t>
  </si>
  <si>
    <t>Origination Fees</t>
  </si>
  <si>
    <t>Loan Type</t>
  </si>
  <si>
    <t>% Rate</t>
  </si>
  <si>
    <t>Loan Dates</t>
  </si>
  <si>
    <t>Undergrads</t>
  </si>
  <si>
    <t>Start</t>
  </si>
  <si>
    <t>End</t>
  </si>
  <si>
    <t>Postgrads</t>
  </si>
  <si>
    <t>Disburse Dates</t>
  </si>
  <si>
    <t>If everything is correct we will originate your loans and issue a certificate for visa application</t>
  </si>
  <si>
    <t>Provide evidence of your needs for any increase to  PLUS to be considered or borrow less in Section 6</t>
  </si>
  <si>
    <t>After Origination Fees You Get</t>
  </si>
  <si>
    <t>What does your SAR say for "dependancy status" Only answer I or D</t>
  </si>
  <si>
    <t>Notification of Student Loan</t>
  </si>
  <si>
    <t xml:space="preserve">This is to certify that </t>
  </si>
  <si>
    <t>Student Name</t>
  </si>
  <si>
    <t>Date of Birth (dd/mm/yyyy)</t>
  </si>
  <si>
    <t>Student/Applicant ID</t>
  </si>
  <si>
    <t>has been accepted in a degree-granting program (or otherwise eligible program) at our school.</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</si>
  <si>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</si>
  <si>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</si>
  <si>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</si>
  <si>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</si>
  <si>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</si>
  <si>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</si>
  <si>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</si>
  <si>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</si>
  <si>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</si>
  <si>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by the person whose initials are ringed below</t>
  </si>
  <si>
    <t>and stamped by the Office stamp</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</si>
  <si>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</si>
  <si>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</si>
  <si>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</si>
  <si>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</si>
  <si>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</si>
  <si>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</si>
  <si>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</si>
  <si>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Date Issued</t>
  </si>
  <si>
    <t>if printed on school headed paper</t>
  </si>
  <si>
    <t>and signed across the coat of arms</t>
  </si>
  <si>
    <t>This spreadsheet is to help you and us</t>
  </si>
  <si>
    <t>Max Loans Allowed Adjusted for Fees</t>
  </si>
  <si>
    <t>Max Loan after grossing up for Fees adjustments</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</si>
  <si>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</si>
  <si>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</si>
  <si>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</si>
  <si>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</si>
  <si>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</si>
  <si>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</si>
  <si>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</si>
  <si>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</si>
  <si>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</si>
  <si>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</si>
  <si>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Visa application</t>
  </si>
  <si>
    <t>Visa Application and flights to interview</t>
  </si>
  <si>
    <t>PLUS Loan</t>
  </si>
  <si>
    <t>How these Costs are Calculated</t>
  </si>
  <si>
    <t>Year Dates</t>
  </si>
  <si>
    <t>These dates are set to minimise the risk of your loan being rejected by overlapping a previous year.</t>
  </si>
  <si>
    <t>Disbursement Dates</t>
  </si>
  <si>
    <t>Interest</t>
  </si>
  <si>
    <t>Rebate</t>
  </si>
  <si>
    <t>Actual</t>
  </si>
  <si>
    <t>Factor</t>
  </si>
  <si>
    <t>Total (after rounding, may be slightly higher than total of section 4)</t>
  </si>
  <si>
    <t>It is used to help you and the school in several ways</t>
  </si>
  <si>
    <t>Government Fees *** Deducted</t>
  </si>
  <si>
    <t>SCHOOL COMMENT ON YOUR PROPOSED COSTS &amp; ELIGIBLE LOANS</t>
  </si>
  <si>
    <t>Final</t>
  </si>
  <si>
    <t>Next review date for Exchange Rate</t>
  </si>
  <si>
    <t>Cost of two BA return flights Heathrow/LA  travelling at weekends and rounded up by £100 to nearest £100</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</si>
  <si>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sterling cost of attendance.</t>
  </si>
  <si>
    <t>Total Eligible before adjustment for Fees</t>
  </si>
  <si>
    <t>MAXIMUM LOAN LEVELS AVAILABLE</t>
  </si>
  <si>
    <t>CONVERTING FEES AND CONTRIBUTIONS TO DOLLARS</t>
  </si>
  <si>
    <t>CONVERTING WEEKLY COSTS TO DOLLARS</t>
  </si>
  <si>
    <t>CONVERTING ANNUAL COSTS TO DOLLARS</t>
  </si>
  <si>
    <t>FINAL CALCULATIONS</t>
  </si>
  <si>
    <t>PLUS NEED</t>
  </si>
  <si>
    <t>Need for PLUS</t>
  </si>
  <si>
    <t>PLUS Available</t>
  </si>
  <si>
    <t>Requested Cost of Attendance (Values rounded)</t>
  </si>
  <si>
    <t>Sub available</t>
  </si>
  <si>
    <t>ORIG FEE INC</t>
  </si>
  <si>
    <t>Sub Orig Fee</t>
  </si>
  <si>
    <t>Unsub Orig Fee</t>
  </si>
  <si>
    <t>PLUS Orig fee</t>
  </si>
  <si>
    <t>DISBURSEMENTS</t>
  </si>
  <si>
    <t>ORIG FEE NOT INC</t>
  </si>
  <si>
    <t>Government Fees</t>
  </si>
  <si>
    <t xml:space="preserve">Your government takes an origination fee. </t>
  </si>
  <si>
    <t>State how much you would like to borrow for each loan type - adjust the figures in blue in the "Your Request" column</t>
  </si>
  <si>
    <t xml:space="preserve">Eligible students from the U.S. who attend our school may borrow private loans through Sallie Mae. </t>
  </si>
  <si>
    <t>We have certified a loan with Sallie Mae as follows:</t>
  </si>
  <si>
    <t>Sallie Mae Smart Loan</t>
  </si>
  <si>
    <t>RETAIL (Main Street) RATE - NOT INTERBANK RATE</t>
  </si>
  <si>
    <t>From July 2012 there is no Subsidised Loan for postgraduates</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</si>
  <si>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</si>
  <si>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</si>
  <si>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</si>
  <si>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</si>
  <si>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</si>
  <si>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</si>
  <si>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</si>
  <si>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</si>
  <si>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</si>
  <si>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</si>
  <si>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</si>
  <si>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</si>
  <si>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</si>
  <si>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</si>
  <si>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</si>
  <si>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</si>
  <si>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</si>
  <si>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</si>
  <si>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</si>
  <si>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</si>
  <si>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</si>
  <si>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</si>
  <si>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</si>
  <si>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</si>
  <si>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</si>
  <si>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</si>
  <si>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</si>
  <si>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</si>
  <si>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</si>
  <si>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</si>
  <si>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</si>
  <si>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</si>
  <si>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</si>
  <si>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</si>
  <si>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</si>
  <si>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</si>
  <si>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</si>
  <si>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</si>
  <si>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</si>
  <si>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</si>
  <si>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</si>
  <si>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</si>
  <si>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</si>
  <si>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</si>
  <si>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</si>
  <si>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</si>
  <si>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</si>
  <si>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</si>
  <si>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</si>
  <si>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</si>
  <si>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</si>
  <si>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</si>
  <si>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SCHOOL INFORMATION</t>
  </si>
  <si>
    <t>MONEY INFORMATION</t>
  </si>
  <si>
    <r>
      <t xml:space="preserve">What is the date of your last Bachelors' graduation ceremony </t>
    </r>
    <r>
      <rPr>
        <b/>
        <u val="single"/>
        <sz val="10"/>
        <color indexed="10"/>
        <rFont val="Times New Roman"/>
        <family val="1"/>
      </rPr>
      <t>in the summer</t>
    </r>
    <r>
      <rPr>
        <sz val="10"/>
        <color indexed="10"/>
        <rFont val="Times New Roman"/>
        <family val="1"/>
      </rPr>
      <t xml:space="preserve"> </t>
    </r>
  </si>
  <si>
    <t>AND/OR</t>
  </si>
  <si>
    <t>official end of summer term - ONLY if earlier</t>
  </si>
  <si>
    <t>For your information …</t>
  </si>
  <si>
    <t>Information sent by the US Dept of Ed to schools also includes all those who may not apply or enroll.</t>
  </si>
  <si>
    <t>The Basis of Costs tab shows you how we calculated the Cost of Attendance</t>
  </si>
  <si>
    <t>Worst combination goes to the CoA</t>
  </si>
  <si>
    <t>Worst Fee Rate</t>
  </si>
  <si>
    <t>What are the initials of your staff allowed to sign visa letters USE BLOCK CAPS</t>
  </si>
  <si>
    <t>which come from the US Dept of Education and are administered through this school.</t>
  </si>
  <si>
    <t>When - long after the first disbursement - will you review the exchange rate</t>
  </si>
  <si>
    <t>Travelcard/Transport Costs</t>
  </si>
  <si>
    <t>What is your normal family shopping for a week and adjust for one adult</t>
  </si>
  <si>
    <t>PC and Printer</t>
  </si>
  <si>
    <t>Postgrad weeks</t>
  </si>
  <si>
    <t>Year 1</t>
  </si>
  <si>
    <t>Year 2</t>
  </si>
  <si>
    <t>Year 3</t>
  </si>
  <si>
    <t>Year 4</t>
  </si>
  <si>
    <t>Dependent Unsubsidised</t>
  </si>
  <si>
    <t>Independent Unsubsidised</t>
  </si>
  <si>
    <t xml:space="preserve">Worst case costs at worst exchange </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</si>
  <si>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</si>
  <si>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</si>
  <si>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</si>
  <si>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</si>
  <si>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</si>
  <si>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</si>
  <si>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School's Estimate per week</t>
  </si>
  <si>
    <t>School's Estimate per Year</t>
  </si>
  <si>
    <t>YOUR ESTIMATED FINAL COSTS &amp; US ED DEPT MAXIMUM LOAN ELIGIBILITY - YOU MAY BORROW LESS IF YOU CHOOSE</t>
  </si>
  <si>
    <t>Private Loan</t>
  </si>
  <si>
    <t>Government Loan</t>
  </si>
  <si>
    <t>Is this application for a Private loan (Sallie Mae), please select from this drop-box</t>
  </si>
  <si>
    <t>What is your best estimate for electricity/gas for a week (use our own home direct debits?)</t>
  </si>
  <si>
    <t>Do NOT put in a date where you don't have a disbursement</t>
  </si>
  <si>
    <t>FOR SCHOOL USE ONLY</t>
  </si>
  <si>
    <t>PG T1</t>
  </si>
  <si>
    <t>PG T2</t>
  </si>
  <si>
    <t>PG T3</t>
  </si>
  <si>
    <t>PG T4</t>
  </si>
  <si>
    <t xml:space="preserve"> the student will receive the following Private Loan awards:</t>
  </si>
  <si>
    <t>The School certifies the value of these loans and receives the disbursements to give to the student.</t>
  </si>
  <si>
    <t>First, Check the prices of all halls of residence and select the highest below self-contained suite. Second, search for the average price of a room in a shared flat and for a studio flat in the close area (use the web and general estate agent searches). Select the higher average price of the two scenarios.</t>
  </si>
  <si>
    <t>Normal cost of one return journey for 7 days or a weekly travel card covering the area, whichever is the greater</t>
  </si>
  <si>
    <t>Date of Birth</t>
  </si>
  <si>
    <t>To ensure that your application is as smooth as possible, you must complete the Cost of Attendance spreadsheet and the checklist</t>
  </si>
  <si>
    <t>DON'T TOUCH THE BLUE BOXES - They are calculations going to other parts of this workbook</t>
  </si>
  <si>
    <t>School to Complete ONLY the yellow boxes</t>
  </si>
  <si>
    <t>Postgraduates - The loan year will be 365 days</t>
  </si>
  <si>
    <t>Do not write the name of any bank</t>
  </si>
  <si>
    <t>Visa costs plus cost of midweek return next day flight US New York to LA and rounded</t>
  </si>
  <si>
    <t>Academic Year Calculations</t>
  </si>
  <si>
    <t>Calculates max allowed before prroof of costs needed</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</si>
  <si>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</si>
  <si>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</si>
  <si>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</si>
  <si>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</si>
  <si>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</si>
  <si>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</si>
  <si>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If you are a PhD student starting later in the year, use the tab "late PhD Cost of Attendance"</t>
  </si>
  <si>
    <t>You must complete and send us the spreadsheet "Cost of Attendance" tab</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</si>
  <si>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</si>
  <si>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</si>
  <si>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</si>
  <si>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</si>
  <si>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</si>
  <si>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</si>
  <si>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</si>
  <si>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</si>
  <si>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</si>
  <si>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</si>
  <si>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Your Request  -  you may reduce these values</t>
  </si>
  <si>
    <t>Full name of your course</t>
  </si>
  <si>
    <t>What will be your year of study - select from the dropbox only</t>
  </si>
  <si>
    <t>How much has already been awarded by this school as a Scholarship or Financial Aid</t>
  </si>
  <si>
    <t>Independent Undergraduates are not eligible for a PLUS Loan</t>
  </si>
  <si>
    <t>You could have borrowed these Govt. Loans</t>
  </si>
  <si>
    <t>Avg highest Tuition Fee charged in London for MSc</t>
  </si>
  <si>
    <t>Calculating fields for late starters - do not adjust these fields</t>
  </si>
  <si>
    <t>These are 15/16 - If you know levels have changed, go to the USDE website and find the loan levels for each type of student</t>
  </si>
  <si>
    <t>These are 01 Oct 2014 - If they've changed, go to the USDE website and check origination/rebates for each loan type and adjust below</t>
  </si>
  <si>
    <t>weeks</t>
  </si>
  <si>
    <t>PG</t>
  </si>
  <si>
    <t>UG</t>
  </si>
  <si>
    <t>The exchange rate is set by a review of High Street banks and selecting the worst possible rate and incrementing it by the worst possible commission. This is sufficient to enable loans to be calculated and originated. The rate will not be re-assessed until after the end of the registration period. Should the rate change unfavourably once the course has started, then the whole Cost of Attendance can be reviewed again. .</t>
  </si>
  <si>
    <t>Undergraduates - The loan year will be start of academic year to end of final term</t>
  </si>
  <si>
    <t>only 6 banks would accept or exchange dollars</t>
  </si>
  <si>
    <t>midweek return flights with BA from  Los Angeles to London</t>
  </si>
  <si>
    <t>midweek return flight for visa interview Los Angeles to New York</t>
  </si>
  <si>
    <t>Visa £322 and NHS charge £150.00</t>
  </si>
  <si>
    <t>COMPLETE ALL YELLOW BOXES ONLY</t>
  </si>
  <si>
    <t>DO</t>
  </si>
  <si>
    <t xml:space="preserve">We participate in the William D. Ford Federal Direct Loan (Direct Loan) Program administered by the United States (U.S.) Department of Education. 
Eligible students from the U.S. who attend our school may borrow through the Direct Loan Program. 
Undergraduate students and graduate/professional students may receive Direct Subsidized Loans and Direct Unsubsidized Loans.
Graduate/professional students and parents may receive Direct PLUS Loans. 
</t>
  </si>
  <si>
    <t>CP</t>
  </si>
  <si>
    <t>LONDON</t>
  </si>
  <si>
    <t>CW</t>
  </si>
  <si>
    <t xml:space="preserve">Has been accepted in a degree-granting programme(or otherwise eligible programme) at our School </t>
  </si>
  <si>
    <t>SD</t>
  </si>
  <si>
    <r>
      <rPr>
        <b/>
        <u val="single"/>
        <sz val="11"/>
        <rFont val="Calibri"/>
        <family val="2"/>
      </rPr>
      <t xml:space="preserve">Please note: </t>
    </r>
    <r>
      <rPr>
        <sz val="11"/>
        <rFont val="Calibri"/>
        <family val="2"/>
      </rPr>
      <t xml:space="preserve">This is a summary of loans originated, however this </t>
    </r>
    <r>
      <rPr>
        <b/>
        <u val="single"/>
        <sz val="11"/>
        <rFont val="Calibri"/>
        <family val="2"/>
      </rPr>
      <t>is not</t>
    </r>
    <r>
      <rPr>
        <sz val="11"/>
        <rFont val="Calibri"/>
        <family val="2"/>
      </rPr>
      <t xml:space="preserve"> a guarantee of Federal student loans</t>
    </r>
  </si>
  <si>
    <t xml:space="preserve"> The student (or, in some cases, the student’s parent) will receive the following Direct Loan awards</t>
  </si>
  <si>
    <t>Section 1</t>
  </si>
  <si>
    <t xml:space="preserve">Is this course for BSc or BA or BLL? </t>
  </si>
  <si>
    <t>Section 2</t>
  </si>
  <si>
    <t>Please answer each question in this section</t>
  </si>
  <si>
    <t xml:space="preserve">Section 3 </t>
  </si>
  <si>
    <t>Section 4</t>
  </si>
  <si>
    <t>Section 5</t>
  </si>
  <si>
    <t xml:space="preserve">Section 6 </t>
  </si>
  <si>
    <t>Section 7</t>
  </si>
  <si>
    <t>Single Costs for the year - you may adjust or add extras in these columns</t>
  </si>
  <si>
    <t>you may be asked for proof of your extra needs</t>
  </si>
  <si>
    <t>Weekly Essential Costs - School Max Estimates - you can adjust the values but may be asked for proofs of your adjusted costs</t>
  </si>
  <si>
    <t>Section 8</t>
  </si>
  <si>
    <t xml:space="preserve">Section 9 Government Fees </t>
  </si>
  <si>
    <t>Cost of a laptop plus a printer</t>
  </si>
  <si>
    <t>1. You tell us what we need to know about you before we can start to process your application (Section 1)</t>
  </si>
  <si>
    <t>2. You can re-calculate your costs (Sections 2 &amp; 3) and if needed you can change our values shown in blue</t>
  </si>
  <si>
    <t>3. It calculates how much you need and are eligible to borrow (Section 4)</t>
  </si>
  <si>
    <t>4. It tells you whether the school will accept the costs you have proposed (Section 5)</t>
  </si>
  <si>
    <t>6. You tell us how much you want to borrow (Section 6) You adjust the figures shown in blue</t>
  </si>
  <si>
    <t>There are some documents which we have to receive before we can even start to certify or complete your loans</t>
  </si>
  <si>
    <t>When we will receive the required documents as outlined in the LSE Federal Studentg Aid Guide we will start the eligibility checking</t>
  </si>
  <si>
    <t>WARNING - THESE DATES ARE EXPECTED AND NOT ACTUAL</t>
  </si>
  <si>
    <t>Select</t>
  </si>
  <si>
    <t xml:space="preserve">Federal Direct Subsidised Loan </t>
  </si>
  <si>
    <t xml:space="preserve">Federal Direct Unsubsidised Loan </t>
  </si>
  <si>
    <t>Federal Direct PLUS (Parent/Graduate) Loans.</t>
  </si>
  <si>
    <t>Rate per https://studentaid.gov/understand-aid/types/loans/interest-rates</t>
  </si>
  <si>
    <t>What is your estimate for enough pocket money per week</t>
  </si>
  <si>
    <t>Powerful laptop and printer [Apple MacBook  - PC World March 2022]</t>
  </si>
  <si>
    <t>2023/24</t>
  </si>
  <si>
    <t>GP</t>
  </si>
  <si>
    <t>Housing</t>
  </si>
  <si>
    <t>Food and utilities</t>
  </si>
  <si>
    <t>ME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</si>
</sst>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409]#,##0"/>
    <numFmt numFmtId="166" formatCode="&quot;£&quot;#,##0.00"/>
    <numFmt numFmtId="167" formatCode="[$$-409]#,##0.00"/>
    <numFmt numFmtId="168" formatCode="#,##0.00_ ;\-#,##0.00\ "/>
    <numFmt numFmtId="169" formatCode="#,##0_ ;\-#,##0\ "/>
    <numFmt numFmtId="170" formatCode="[$$-409]#,##0;[Red][$$-409]#,##0"/>
    <numFmt numFmtId="171" formatCode="&quot;Yes&quot;;&quot;Yes&quot;;&quot;No&quot;"/>
    <numFmt numFmtId="172" formatCode="&quot;True&quot;;&quot;True&quot;;&quot;False&quot;"/>
    <numFmt numFmtId="173" formatCode="&quot;On&quot;;&quot;On&quot;;&quot;Off&quot;"/>
    <numFmt numFmtId="174" formatCode="[$€-2]\ #,##0.00_);[Red]\([$€-2]\ #,##0.00\)"/>
    <numFmt numFmtId="175" formatCode="[$-809]dd\ mmmm\ yyyy"/>
    <numFmt numFmtId="176" formatCode="[$-F800]dddd\,\ mmmm\ dd\,\ yyyy"/>
    <numFmt numFmtId="177" formatCode="[$-809]d\ mmmm\ yyyy;@"/>
    <numFmt numFmtId="178" formatCode="[$$-409]#,##0.000"/>
    <numFmt numFmtId="179" formatCode="[$$-409]#,##0.00;[Red][$$-409]#,##0.00"/>
    <numFmt numFmtId="180" formatCode="0.0000"/>
    <numFmt numFmtId="181" formatCode="0.0%"/>
    <numFmt numFmtId="182" formatCode="[$$-409]#,##0.0000"/>
    <numFmt numFmtId="183" formatCode="dd\-mmm\-yyyy"/>
    <numFmt numFmtId="184" formatCode="#,##0.0000"/>
    <numFmt numFmtId="185" formatCode="mmm\-yyyy"/>
    <numFmt numFmtId="186" formatCode="dd/mm/yyyy;@"/>
    <numFmt numFmtId="187" formatCode="m/d/yy;@"/>
    <numFmt numFmtId="188" formatCode="0.0000%"/>
    <numFmt numFmtId="189" formatCode="_-[$$-409]* #,##0.00_ ;_-[$$-409]* \-#,##0.00\ ;_-[$$-409]* &quot;-&quot;??_ ;_-@_ "/>
  </numFmts>
  <fonts count="122">
    <font>
      <sz val="10"/>
      <name val="Arial"/>
      <family val="0"/>
    </font>
    <font>
      <b/>
      <sz val="10"/>
      <name val="Arial"/>
      <family val="2"/>
    </font>
    <font>
      <sz val="8"/>
      <name val="Arial"/>
      <family val="2"/>
    </font>
    <font>
      <sz val="10"/>
      <color indexed="12"/>
      <name val="Arial"/>
      <family val="2"/>
    </font>
    <font>
      <u val="single"/>
      <sz val="7.5"/>
      <color indexed="12"/>
      <name val="Arial"/>
      <family val="2"/>
    </font>
    <font>
      <u val="single"/>
      <sz val="7.5"/>
      <color indexed="36"/>
      <name val="Arial"/>
      <family val="2"/>
    </font>
    <font>
      <b/>
      <sz val="12"/>
      <color indexed="10"/>
      <name val="Arial"/>
      <family val="2"/>
    </font>
    <font>
      <sz val="10"/>
      <name val="Times New Roman"/>
      <family val="1"/>
    </font>
    <font>
      <b/>
      <sz val="10"/>
      <color indexed="10"/>
      <name val="Times New Roman"/>
      <family val="1"/>
    </font>
    <font>
      <b/>
      <sz val="12"/>
      <color indexed="10"/>
      <name val="Times New Roman"/>
      <family val="1"/>
    </font>
    <font>
      <b/>
      <sz val="12"/>
      <color indexed="12"/>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val="single"/>
      <sz val="12"/>
      <color indexed="10"/>
      <name val="Times New Roman"/>
      <family val="1"/>
    </font>
    <font>
      <b/>
      <u val="single"/>
      <sz val="10"/>
      <color indexed="10"/>
      <name val="Times New Roman"/>
      <family val="1"/>
    </font>
    <font>
      <b/>
      <u val="single"/>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0"/>
      <name val="Times New Roman"/>
      <family val="1"/>
    </font>
    <font>
      <sz val="11"/>
      <name val="Calibri"/>
      <family val="2"/>
    </font>
    <font>
      <b/>
      <u val="single"/>
      <sz val="11"/>
      <name val="Calibri"/>
      <family val="2"/>
    </font>
    <font>
      <b/>
      <sz val="14"/>
      <color indexed="9"/>
      <name val="Arial"/>
      <family val="2"/>
    </font>
    <font>
      <sz val="14"/>
      <name val="Arial"/>
      <family val="2"/>
    </font>
    <font>
      <sz val="12"/>
      <name val="Arial"/>
      <family val="2"/>
    </font>
    <font>
      <b/>
      <sz val="12"/>
      <color indexed="12"/>
      <name val="Arial"/>
      <family val="2"/>
    </font>
    <font>
      <b/>
      <sz val="12"/>
      <color indexed="13"/>
      <name val="Arial"/>
      <family val="2"/>
    </font>
    <font>
      <sz val="12"/>
      <color indexed="12"/>
      <name val="Arial"/>
      <family val="2"/>
    </font>
    <font>
      <b/>
      <sz val="12"/>
      <color indexed="9"/>
      <name val="Arial"/>
      <family val="2"/>
    </font>
    <font>
      <b/>
      <sz val="12"/>
      <name val="Arial"/>
      <family val="2"/>
    </font>
    <font>
      <b/>
      <sz val="14"/>
      <color indexed="10"/>
      <name val="Arial"/>
      <family val="2"/>
    </font>
    <font>
      <b/>
      <i/>
      <sz val="9"/>
      <name val="Arial"/>
      <family val="2"/>
    </font>
    <font>
      <sz val="9"/>
      <name val="Arial"/>
      <family val="2"/>
    </font>
    <font>
      <b/>
      <sz val="9"/>
      <name val="Arial"/>
      <family val="2"/>
    </font>
    <font>
      <u val="single"/>
      <sz val="14"/>
      <color indexed="12"/>
      <name val="Arial"/>
      <family val="2"/>
    </font>
    <font>
      <b/>
      <sz val="14"/>
      <color indexed="12"/>
      <name val="Arial"/>
      <family val="2"/>
    </font>
    <font>
      <b/>
      <u val="single"/>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6"/>
      <name val="Calibri"/>
      <family val="2"/>
    </font>
    <font>
      <b/>
      <sz val="10"/>
      <name val="Calibri"/>
      <family val="2"/>
    </font>
    <font>
      <b/>
      <sz val="10"/>
      <color indexed="10"/>
      <name val="Calibri"/>
      <family val="2"/>
    </font>
    <font>
      <b/>
      <sz val="10"/>
      <color indexed="48"/>
      <name val="Calibri"/>
      <family val="2"/>
    </font>
    <font>
      <sz val="12"/>
      <name val="Calibri"/>
      <family val="2"/>
    </font>
    <font>
      <b/>
      <sz val="14"/>
      <color indexed="10"/>
      <name val="Calibri"/>
      <family val="2"/>
    </font>
    <font>
      <b/>
      <sz val="12"/>
      <name val="Calibri"/>
      <family val="2"/>
    </font>
    <font>
      <b/>
      <sz val="18"/>
      <name val="Calibri"/>
      <family val="2"/>
    </font>
    <font>
      <sz val="14"/>
      <name val="Calibri"/>
      <family val="2"/>
    </font>
    <font>
      <b/>
      <sz val="14"/>
      <color indexed="12"/>
      <name val="Calibri"/>
      <family val="2"/>
    </font>
    <font>
      <sz val="14"/>
      <color indexed="10"/>
      <name val="Calibri"/>
      <family val="2"/>
    </font>
    <font>
      <b/>
      <sz val="12"/>
      <color indexed="12"/>
      <name val="Calibri"/>
      <family val="2"/>
    </font>
    <font>
      <b/>
      <sz val="10"/>
      <color indexed="12"/>
      <name val="Calibri"/>
      <family val="2"/>
    </font>
    <font>
      <b/>
      <sz val="12"/>
      <color indexed="10"/>
      <name val="Calibri"/>
      <family val="2"/>
    </font>
    <font>
      <b/>
      <sz val="16"/>
      <color indexed="10"/>
      <name val="Calibri"/>
      <family val="2"/>
    </font>
    <font>
      <b/>
      <i/>
      <sz val="16"/>
      <color indexed="9"/>
      <name val="Calibri"/>
      <family val="2"/>
    </font>
    <font>
      <b/>
      <sz val="16"/>
      <color indexed="9"/>
      <name val="Calibri"/>
      <family val="2"/>
    </font>
    <font>
      <b/>
      <sz val="16"/>
      <color indexed="17"/>
      <name val="Calibri"/>
      <family val="2"/>
    </font>
    <font>
      <b/>
      <sz val="10"/>
      <color indexed="9"/>
      <name val="Calibri"/>
      <family val="2"/>
    </font>
    <font>
      <b/>
      <i/>
      <sz val="8"/>
      <color indexed="9"/>
      <name val="Calibri"/>
      <family val="2"/>
    </font>
    <font>
      <b/>
      <sz val="10"/>
      <color indexed="17"/>
      <name val="Calibri"/>
      <family val="2"/>
    </font>
    <font>
      <b/>
      <sz val="8"/>
      <color indexed="9"/>
      <name val="Calibri"/>
      <family val="2"/>
    </font>
    <font>
      <b/>
      <u val="single"/>
      <sz val="10"/>
      <color indexed="9"/>
      <name val="Calibri"/>
      <family val="2"/>
    </font>
    <font>
      <sz val="10"/>
      <color indexed="9"/>
      <name val="Calibri"/>
      <family val="2"/>
    </font>
    <font>
      <sz val="10"/>
      <color indexed="10"/>
      <name val="Calibri"/>
      <family val="2"/>
    </font>
    <font>
      <sz val="10"/>
      <color indexed="17"/>
      <name val="Calibri"/>
      <family val="2"/>
    </font>
    <font>
      <b/>
      <sz val="12"/>
      <color indexed="9"/>
      <name val="Calibri"/>
      <family val="2"/>
    </font>
    <font>
      <sz val="12"/>
      <color indexed="10"/>
      <name val="Calibri"/>
      <family val="2"/>
    </font>
    <font>
      <b/>
      <u val="single"/>
      <sz val="12"/>
      <color indexed="9"/>
      <name val="Calibri"/>
      <family val="2"/>
    </font>
    <font>
      <sz val="12"/>
      <color indexed="9"/>
      <name val="Calibri"/>
      <family val="2"/>
    </font>
    <font>
      <sz val="12"/>
      <color indexed="17"/>
      <name val="Calibri"/>
      <family val="2"/>
    </font>
    <font>
      <b/>
      <sz val="14"/>
      <color indexed="9"/>
      <name val="Calibri"/>
      <family val="2"/>
    </font>
    <font>
      <b/>
      <sz val="12"/>
      <color indexed="17"/>
      <name val="Calibri"/>
      <family val="2"/>
    </font>
    <font>
      <b/>
      <sz val="14"/>
      <color indexed="17"/>
      <name val="Calibri"/>
      <family val="2"/>
    </font>
    <font>
      <b/>
      <sz val="14"/>
      <name val="Calibri"/>
      <family val="2"/>
    </font>
    <font>
      <b/>
      <sz val="11"/>
      <name val="Calibri"/>
      <family val="2"/>
    </font>
    <font>
      <u val="single"/>
      <sz val="11"/>
      <name val="Calibri"/>
      <family val="2"/>
    </font>
    <font>
      <sz val="12"/>
      <color indexed="12"/>
      <name val="Calibri"/>
      <family val="2"/>
    </font>
    <font>
      <b/>
      <sz val="16"/>
      <color indexed="8"/>
      <name val="Calibri"/>
      <family val="0"/>
    </font>
    <font>
      <b/>
      <sz val="14"/>
      <color indexed="8"/>
      <name val="Calibri"/>
      <family val="0"/>
    </font>
    <font>
      <sz val="14"/>
      <color indexed="8"/>
      <name val="Calibri"/>
      <family val="0"/>
    </font>
    <font>
      <b/>
      <u val="single"/>
      <sz val="12"/>
      <color indexed="8"/>
      <name val="Calibri"/>
      <family val="0"/>
    </font>
    <font>
      <b/>
      <u val="single"/>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2"/>
      <color theme="0"/>
      <name val="Arial"/>
      <family val="2"/>
    </font>
    <font>
      <b/>
      <sz val="14"/>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indexed="8"/>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color indexed="63"/>
      </bottom>
    </border>
    <border>
      <left style="thin"/>
      <right style="thin"/>
      <top style="thin"/>
      <bottom style="thin"/>
    </border>
    <border>
      <left style="thin"/>
      <right style="thin"/>
      <top style="thin"/>
      <bottom style="double"/>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5"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4"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453">
    <xf numFmtId="0" fontId="0" fillId="0" borderId="0" xfId="0" applyAlignment="1">
      <alignment/>
    </xf>
    <xf numFmtId="43" fontId="0" fillId="0" borderId="0" xfId="42" applyFont="1" applyBorder="1" applyAlignment="1" applyProtection="1">
      <alignment horizontal="right"/>
      <protection/>
    </xf>
    <xf numFmtId="0" fontId="8" fillId="0" borderId="0" xfId="0" applyFont="1" applyAlignment="1" applyProtection="1">
      <alignment/>
      <protection/>
    </xf>
    <xf numFmtId="0" fontId="7" fillId="0" borderId="0" xfId="0" applyFont="1" applyAlignment="1" applyProtection="1">
      <alignment/>
      <protection/>
    </xf>
    <xf numFmtId="0" fontId="10" fillId="33" borderId="0" xfId="0" applyFont="1" applyFill="1" applyAlignment="1" applyProtection="1">
      <alignment/>
      <protection/>
    </xf>
    <xf numFmtId="0" fontId="9" fillId="0" borderId="0" xfId="0" applyFont="1" applyAlignment="1" applyProtection="1">
      <alignment/>
      <protection/>
    </xf>
    <xf numFmtId="0" fontId="15" fillId="0" borderId="0" xfId="0" applyFont="1" applyAlignment="1" applyProtection="1">
      <alignment/>
      <protection/>
    </xf>
    <xf numFmtId="0" fontId="14" fillId="0" borderId="0" xfId="0" applyFont="1" applyAlignment="1" applyProtection="1">
      <alignment/>
      <protection/>
    </xf>
    <xf numFmtId="0" fontId="11" fillId="0" borderId="0" xfId="0" applyFont="1" applyAlignment="1" applyProtection="1">
      <alignment horizontal="center"/>
      <protection/>
    </xf>
    <xf numFmtId="0" fontId="12"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pplyProtection="1">
      <alignment horizontal="right"/>
      <protection/>
    </xf>
    <xf numFmtId="165" fontId="7" fillId="0" borderId="0" xfId="0" applyNumberFormat="1" applyFont="1" applyAlignment="1" applyProtection="1">
      <alignment/>
      <protection/>
    </xf>
    <xf numFmtId="0" fontId="16" fillId="0" borderId="0" xfId="0" applyFont="1" applyAlignment="1" applyProtection="1">
      <alignment/>
      <protection/>
    </xf>
    <xf numFmtId="0" fontId="16" fillId="0" borderId="0" xfId="0" applyFont="1" applyFill="1" applyAlignment="1" applyProtection="1">
      <alignment/>
      <protection/>
    </xf>
    <xf numFmtId="14" fontId="13" fillId="34" borderId="0" xfId="0" applyNumberFormat="1" applyFont="1" applyFill="1" applyAlignment="1" applyProtection="1">
      <alignment/>
      <protection/>
    </xf>
    <xf numFmtId="164" fontId="7" fillId="0" borderId="0" xfId="0" applyNumberFormat="1" applyFont="1" applyAlignment="1" applyProtection="1">
      <alignment/>
      <protection/>
    </xf>
    <xf numFmtId="164" fontId="13" fillId="34" borderId="0" xfId="0" applyNumberFormat="1" applyFont="1" applyFill="1" applyAlignment="1" applyProtection="1">
      <alignment/>
      <protection/>
    </xf>
    <xf numFmtId="166" fontId="12" fillId="0" borderId="0" xfId="0" applyNumberFormat="1" applyFont="1" applyAlignment="1" applyProtection="1">
      <alignment/>
      <protection/>
    </xf>
    <xf numFmtId="164" fontId="8" fillId="0" borderId="0" xfId="0" applyNumberFormat="1" applyFont="1" applyAlignment="1" applyProtection="1">
      <alignment/>
      <protection/>
    </xf>
    <xf numFmtId="0" fontId="13" fillId="34" borderId="0" xfId="0" applyFont="1" applyFill="1" applyAlignment="1" applyProtection="1">
      <alignment/>
      <protection/>
    </xf>
    <xf numFmtId="164" fontId="8" fillId="34" borderId="0" xfId="0" applyNumberFormat="1" applyFont="1" applyFill="1" applyAlignment="1" applyProtection="1">
      <alignment/>
      <protection/>
    </xf>
    <xf numFmtId="1" fontId="13" fillId="34" borderId="0" xfId="0" applyNumberFormat="1" applyFont="1" applyFill="1" applyAlignment="1" applyProtection="1">
      <alignment/>
      <protection/>
    </xf>
    <xf numFmtId="164" fontId="15" fillId="0" borderId="0" xfId="0" applyNumberFormat="1" applyFont="1" applyAlignment="1" applyProtection="1">
      <alignment/>
      <protection/>
    </xf>
    <xf numFmtId="164" fontId="12" fillId="0" borderId="0" xfId="42" applyNumberFormat="1" applyFont="1" applyBorder="1" applyAlignment="1" applyProtection="1">
      <alignment horizontal="center"/>
      <protection/>
    </xf>
    <xf numFmtId="43" fontId="0" fillId="0" borderId="0" xfId="42" applyFont="1" applyBorder="1" applyAlignment="1" applyProtection="1">
      <alignment horizontal="right"/>
      <protection/>
    </xf>
    <xf numFmtId="0" fontId="13" fillId="0" borderId="0" xfId="0" applyFont="1" applyFill="1" applyAlignment="1" applyProtection="1">
      <alignment/>
      <protection/>
    </xf>
    <xf numFmtId="0" fontId="8" fillId="0" borderId="0" xfId="0" applyFont="1" applyFill="1" applyAlignment="1" applyProtection="1">
      <alignment/>
      <protection/>
    </xf>
    <xf numFmtId="0" fontId="7" fillId="0" borderId="0" xfId="0" applyFont="1" applyAlignment="1" applyProtection="1">
      <alignment horizontal="center" vertical="center" wrapText="1"/>
      <protection/>
    </xf>
    <xf numFmtId="165" fontId="13" fillId="34" borderId="0" xfId="0" applyNumberFormat="1" applyFont="1" applyFill="1" applyAlignment="1" applyProtection="1">
      <alignment/>
      <protection/>
    </xf>
    <xf numFmtId="165" fontId="13" fillId="34" borderId="10" xfId="0" applyNumberFormat="1" applyFont="1" applyFill="1" applyBorder="1" applyAlignment="1" applyProtection="1">
      <alignment/>
      <protection/>
    </xf>
    <xf numFmtId="165" fontId="13" fillId="34" borderId="11" xfId="0" applyNumberFormat="1" applyFont="1" applyFill="1" applyBorder="1" applyAlignment="1" applyProtection="1">
      <alignment/>
      <protection/>
    </xf>
    <xf numFmtId="166" fontId="12" fillId="33" borderId="0" xfId="0" applyNumberFormat="1" applyFont="1" applyFill="1" applyAlignment="1" applyProtection="1">
      <alignment/>
      <protection/>
    </xf>
    <xf numFmtId="14" fontId="12" fillId="33" borderId="0" xfId="0" applyNumberFormat="1" applyFont="1" applyFill="1" applyAlignment="1" applyProtection="1">
      <alignment/>
      <protection/>
    </xf>
    <xf numFmtId="43" fontId="3" fillId="33" borderId="0" xfId="42" applyFont="1" applyFill="1" applyBorder="1" applyAlignment="1" applyProtection="1">
      <alignment horizontal="right"/>
      <protection/>
    </xf>
    <xf numFmtId="0" fontId="12" fillId="33" borderId="0" xfId="0" applyFont="1" applyFill="1" applyAlignment="1" applyProtection="1">
      <alignment horizontal="center"/>
      <protection/>
    </xf>
    <xf numFmtId="167" fontId="12" fillId="33" borderId="0" xfId="0" applyNumberFormat="1" applyFont="1" applyFill="1" applyAlignment="1" applyProtection="1">
      <alignment horizontal="center"/>
      <protection/>
    </xf>
    <xf numFmtId="0" fontId="12" fillId="33" borderId="0" xfId="0" applyFont="1" applyFill="1" applyAlignment="1" applyProtection="1">
      <alignment horizontal="right"/>
      <protection/>
    </xf>
    <xf numFmtId="0" fontId="15" fillId="0" borderId="0" xfId="0" applyFont="1" applyAlignment="1" applyProtection="1">
      <alignment horizontal="center"/>
      <protection/>
    </xf>
    <xf numFmtId="0" fontId="13" fillId="34" borderId="0" xfId="0" applyFont="1" applyFill="1" applyAlignment="1" applyProtection="1">
      <alignment horizontal="center"/>
      <protection/>
    </xf>
    <xf numFmtId="0" fontId="8" fillId="0" borderId="0" xfId="0" applyFont="1" applyAlignment="1" applyProtection="1">
      <alignment horizontal="center"/>
      <protection/>
    </xf>
    <xf numFmtId="0" fontId="7" fillId="33" borderId="0" xfId="0" applyFont="1" applyFill="1" applyAlignment="1" applyProtection="1">
      <alignment horizontal="center"/>
      <protection/>
    </xf>
    <xf numFmtId="0" fontId="18" fillId="35" borderId="0" xfId="0" applyFont="1" applyFill="1" applyAlignment="1" applyProtection="1">
      <alignment/>
      <protection/>
    </xf>
    <xf numFmtId="0" fontId="19" fillId="35" borderId="0" xfId="0" applyFont="1" applyFill="1" applyAlignment="1" applyProtection="1">
      <alignment/>
      <protection/>
    </xf>
    <xf numFmtId="0" fontId="20" fillId="35" borderId="0" xfId="0" applyFont="1" applyFill="1" applyAlignment="1" applyProtection="1">
      <alignment/>
      <protection/>
    </xf>
    <xf numFmtId="0" fontId="21" fillId="0" borderId="0" xfId="0" applyFont="1" applyAlignment="1" applyProtection="1">
      <alignment/>
      <protection/>
    </xf>
    <xf numFmtId="0" fontId="22" fillId="0" borderId="0" xfId="0" applyFont="1" applyAlignment="1" applyProtection="1">
      <alignment horizontal="center"/>
      <protection/>
    </xf>
    <xf numFmtId="0" fontId="9" fillId="0" borderId="0" xfId="0" applyFont="1" applyAlignment="1" applyProtection="1">
      <alignment horizontal="center"/>
      <protection/>
    </xf>
    <xf numFmtId="0" fontId="16" fillId="0" borderId="0" xfId="0" applyFont="1" applyAlignment="1" applyProtection="1">
      <alignment horizontal="center"/>
      <protection/>
    </xf>
    <xf numFmtId="0" fontId="22" fillId="35" borderId="0" xfId="0" applyFont="1" applyFill="1" applyAlignment="1" applyProtection="1">
      <alignment horizontal="center"/>
      <protection/>
    </xf>
    <xf numFmtId="0" fontId="9" fillId="33" borderId="0" xfId="0" applyFont="1" applyFill="1" applyAlignment="1" applyProtection="1">
      <alignment horizontal="center"/>
      <protection/>
    </xf>
    <xf numFmtId="0" fontId="11" fillId="34" borderId="0" xfId="0" applyFont="1" applyFill="1" applyAlignment="1" applyProtection="1">
      <alignment horizontal="center"/>
      <protection/>
    </xf>
    <xf numFmtId="0" fontId="17" fillId="35" borderId="0" xfId="0" applyFont="1" applyFill="1" applyAlignment="1" applyProtection="1">
      <alignment horizontal="center"/>
      <protection/>
    </xf>
    <xf numFmtId="176" fontId="12" fillId="33" borderId="0" xfId="0" applyNumberFormat="1" applyFont="1" applyFill="1" applyAlignment="1" applyProtection="1">
      <alignment/>
      <protection/>
    </xf>
    <xf numFmtId="0" fontId="7" fillId="35" borderId="0" xfId="0" applyFont="1" applyFill="1" applyAlignment="1" applyProtection="1">
      <alignment/>
      <protection/>
    </xf>
    <xf numFmtId="14" fontId="7" fillId="0" borderId="0" xfId="0" applyNumberFormat="1" applyFont="1" applyAlignment="1" applyProtection="1">
      <alignment/>
      <protection/>
    </xf>
    <xf numFmtId="1" fontId="57" fillId="36" borderId="12" xfId="42" applyNumberFormat="1" applyFont="1" applyFill="1" applyBorder="1" applyAlignment="1" applyProtection="1">
      <alignment horizontal="center"/>
      <protection/>
    </xf>
    <xf numFmtId="1" fontId="57" fillId="36" borderId="0" xfId="42" applyNumberFormat="1" applyFont="1" applyFill="1" applyBorder="1" applyAlignment="1" applyProtection="1">
      <alignment horizontal="center"/>
      <protection/>
    </xf>
    <xf numFmtId="1" fontId="57" fillId="0" borderId="0" xfId="42" applyNumberFormat="1" applyFont="1" applyBorder="1" applyAlignment="1" applyProtection="1">
      <alignment horizontal="center"/>
      <protection/>
    </xf>
    <xf numFmtId="3" fontId="57" fillId="0" borderId="0" xfId="0" applyNumberFormat="1" applyFont="1" applyAlignment="1" applyProtection="1">
      <alignment horizontal="center"/>
      <protection/>
    </xf>
    <xf numFmtId="164" fontId="57" fillId="0" borderId="0" xfId="42" applyNumberFormat="1" applyFont="1" applyAlignment="1" applyProtection="1">
      <alignment horizontal="center"/>
      <protection/>
    </xf>
    <xf numFmtId="1" fontId="58" fillId="37" borderId="0" xfId="42" applyNumberFormat="1" applyFont="1" applyFill="1" applyAlignment="1" applyProtection="1">
      <alignment horizontal="center"/>
      <protection/>
    </xf>
    <xf numFmtId="0" fontId="58" fillId="37" borderId="0" xfId="0" applyFont="1" applyFill="1" applyAlignment="1" applyProtection="1">
      <alignment/>
      <protection/>
    </xf>
    <xf numFmtId="43" fontId="58" fillId="37" borderId="0" xfId="42" applyFont="1" applyFill="1" applyAlignment="1" applyProtection="1">
      <alignment horizontal="center"/>
      <protection/>
    </xf>
    <xf numFmtId="0" fontId="58" fillId="37" borderId="0" xfId="0" applyFont="1" applyFill="1" applyAlignment="1" applyProtection="1">
      <alignment horizontal="center"/>
      <protection/>
    </xf>
    <xf numFmtId="43" fontId="58" fillId="37" borderId="0" xfId="42" applyFont="1" applyFill="1" applyAlignment="1" applyProtection="1">
      <alignment horizontal="right"/>
      <protection/>
    </xf>
    <xf numFmtId="1" fontId="59" fillId="37" borderId="0" xfId="42" applyNumberFormat="1" applyFont="1" applyFill="1" applyAlignment="1" applyProtection="1">
      <alignment horizontal="center"/>
      <protection/>
    </xf>
    <xf numFmtId="43" fontId="59" fillId="37" borderId="0" xfId="42" applyFont="1" applyFill="1" applyAlignment="1" applyProtection="1">
      <alignment horizontal="center"/>
      <protection/>
    </xf>
    <xf numFmtId="0" fontId="59" fillId="37" borderId="0" xfId="0" applyFont="1" applyFill="1" applyAlignment="1" applyProtection="1">
      <alignment horizontal="center"/>
      <protection/>
    </xf>
    <xf numFmtId="0" fontId="59" fillId="37" borderId="0" xfId="0" applyFont="1" applyFill="1" applyAlignment="1" applyProtection="1">
      <alignment/>
      <protection/>
    </xf>
    <xf numFmtId="43" fontId="60" fillId="37" borderId="0" xfId="42" applyFont="1" applyFill="1" applyAlignment="1" applyProtection="1">
      <alignment horizontal="right"/>
      <protection/>
    </xf>
    <xf numFmtId="0" fontId="59" fillId="37" borderId="0" xfId="0" applyFont="1" applyFill="1" applyAlignment="1" applyProtection="1">
      <alignment horizontal="right"/>
      <protection/>
    </xf>
    <xf numFmtId="176" fontId="61" fillId="37" borderId="0" xfId="42" applyNumberFormat="1" applyFont="1" applyFill="1" applyAlignment="1" applyProtection="1">
      <alignment/>
      <protection/>
    </xf>
    <xf numFmtId="176" fontId="61" fillId="37" borderId="0" xfId="42" applyNumberFormat="1" applyFont="1" applyFill="1" applyAlignment="1" applyProtection="1">
      <alignment horizontal="right"/>
      <protection/>
    </xf>
    <xf numFmtId="43" fontId="59" fillId="37" borderId="0" xfId="42" applyFont="1" applyFill="1" applyAlignment="1" applyProtection="1">
      <alignment horizontal="right"/>
      <protection/>
    </xf>
    <xf numFmtId="43" fontId="57" fillId="37" borderId="0" xfId="42" applyFont="1" applyFill="1" applyAlignment="1" applyProtection="1">
      <alignment horizontal="right"/>
      <protection/>
    </xf>
    <xf numFmtId="176" fontId="61" fillId="37" borderId="0" xfId="0" applyNumberFormat="1" applyFont="1" applyFill="1" applyAlignment="1" applyProtection="1">
      <alignment/>
      <protection/>
    </xf>
    <xf numFmtId="169" fontId="57" fillId="37" borderId="0" xfId="42" applyNumberFormat="1" applyFont="1" applyFill="1" applyAlignment="1" applyProtection="1">
      <alignment horizontal="right"/>
      <protection/>
    </xf>
    <xf numFmtId="1" fontId="57" fillId="37" borderId="0" xfId="42" applyNumberFormat="1" applyFont="1" applyFill="1" applyAlignment="1" applyProtection="1">
      <alignment horizontal="center"/>
      <protection/>
    </xf>
    <xf numFmtId="43" fontId="57" fillId="37" borderId="0" xfId="42" applyFont="1" applyFill="1" applyAlignment="1" applyProtection="1">
      <alignment/>
      <protection/>
    </xf>
    <xf numFmtId="43" fontId="57" fillId="37" borderId="0" xfId="42" applyFont="1" applyFill="1" applyAlignment="1" applyProtection="1">
      <alignment horizontal="center"/>
      <protection/>
    </xf>
    <xf numFmtId="0" fontId="57" fillId="37" borderId="0" xfId="0" applyFont="1" applyFill="1" applyAlignment="1" applyProtection="1">
      <alignment horizontal="center"/>
      <protection/>
    </xf>
    <xf numFmtId="1" fontId="57" fillId="0" borderId="0" xfId="0" applyNumberFormat="1" applyFont="1" applyAlignment="1" applyProtection="1">
      <alignment horizontal="center"/>
      <protection/>
    </xf>
    <xf numFmtId="0" fontId="57" fillId="0" borderId="0" xfId="0" applyFont="1" applyAlignment="1" applyProtection="1">
      <alignment horizontal="center"/>
      <protection/>
    </xf>
    <xf numFmtId="0" fontId="57" fillId="0" borderId="0" xfId="0" applyFont="1" applyAlignment="1" applyProtection="1">
      <alignment/>
      <protection/>
    </xf>
    <xf numFmtId="1" fontId="57" fillId="0" borderId="0" xfId="0" applyNumberFormat="1" applyFont="1" applyAlignment="1" applyProtection="1">
      <alignment horizontal="center"/>
      <protection locked="0"/>
    </xf>
    <xf numFmtId="0" fontId="57" fillId="0" borderId="0" xfId="0" applyFont="1" applyAlignment="1" applyProtection="1">
      <alignment/>
      <protection locked="0"/>
    </xf>
    <xf numFmtId="167" fontId="62" fillId="0" borderId="0" xfId="0" applyNumberFormat="1" applyFont="1" applyAlignment="1" applyProtection="1">
      <alignment horizontal="center"/>
      <protection locked="0"/>
    </xf>
    <xf numFmtId="0" fontId="63" fillId="37" borderId="0" xfId="0" applyFont="1" applyFill="1" applyBorder="1" applyAlignment="1">
      <alignment vertical="center"/>
    </xf>
    <xf numFmtId="0" fontId="63" fillId="37" borderId="0" xfId="0" applyFont="1" applyFill="1" applyBorder="1" applyAlignment="1">
      <alignment vertical="center" wrapText="1"/>
    </xf>
    <xf numFmtId="0" fontId="63" fillId="37" borderId="0" xfId="0" applyFont="1" applyFill="1" applyBorder="1" applyAlignment="1">
      <alignment/>
    </xf>
    <xf numFmtId="0" fontId="57" fillId="37" borderId="0" xfId="0" applyFont="1" applyFill="1" applyBorder="1" applyAlignment="1">
      <alignment vertical="center" wrapText="1"/>
    </xf>
    <xf numFmtId="0" fontId="57" fillId="37" borderId="0" xfId="0" applyFont="1" applyFill="1" applyBorder="1" applyAlignment="1">
      <alignment/>
    </xf>
    <xf numFmtId="0" fontId="57" fillId="37" borderId="0" xfId="0" applyFont="1" applyFill="1" applyBorder="1" applyAlignment="1">
      <alignment vertical="center"/>
    </xf>
    <xf numFmtId="0" fontId="64" fillId="0" borderId="0" xfId="0" applyFont="1" applyAlignment="1" applyProtection="1">
      <alignment horizontal="center"/>
      <protection hidden="1"/>
    </xf>
    <xf numFmtId="0" fontId="57" fillId="0" borderId="0" xfId="0" applyFont="1" applyAlignment="1" applyProtection="1">
      <alignment/>
      <protection hidden="1"/>
    </xf>
    <xf numFmtId="0" fontId="57" fillId="0" borderId="0" xfId="0" applyFont="1" applyAlignment="1">
      <alignment/>
    </xf>
    <xf numFmtId="49" fontId="64" fillId="0" borderId="0" xfId="0" applyNumberFormat="1" applyFont="1" applyAlignment="1" applyProtection="1">
      <alignment horizontal="center"/>
      <protection hidden="1"/>
    </xf>
    <xf numFmtId="49" fontId="59" fillId="0" borderId="0" xfId="0" applyNumberFormat="1" applyFont="1" applyAlignment="1" applyProtection="1">
      <alignment horizontal="center"/>
      <protection hidden="1"/>
    </xf>
    <xf numFmtId="0" fontId="59" fillId="0" borderId="0" xfId="0" applyFont="1" applyAlignment="1" applyProtection="1">
      <alignment horizontal="center"/>
      <protection hidden="1"/>
    </xf>
    <xf numFmtId="0" fontId="65" fillId="0" borderId="0" xfId="0" applyFont="1" applyAlignment="1" applyProtection="1">
      <alignment horizontal="left"/>
      <protection hidden="1"/>
    </xf>
    <xf numFmtId="43" fontId="65" fillId="0" borderId="0" xfId="0" applyNumberFormat="1" applyFont="1" applyAlignment="1" applyProtection="1">
      <alignment horizontal="left"/>
      <protection hidden="1"/>
    </xf>
    <xf numFmtId="0" fontId="66" fillId="0" borderId="0" xfId="0" applyFont="1" applyAlignment="1" applyProtection="1">
      <alignment/>
      <protection hidden="1"/>
    </xf>
    <xf numFmtId="0" fontId="64" fillId="0" borderId="13" xfId="0" applyFont="1" applyBorder="1" applyAlignment="1" applyProtection="1">
      <alignment horizontal="center" vertical="top" wrapText="1"/>
      <protection hidden="1"/>
    </xf>
    <xf numFmtId="0" fontId="64" fillId="0" borderId="13" xfId="0" applyFont="1" applyBorder="1" applyAlignment="1">
      <alignment horizontal="center"/>
    </xf>
    <xf numFmtId="0" fontId="64" fillId="0" borderId="0" xfId="0" applyFont="1" applyAlignment="1" applyProtection="1">
      <alignment/>
      <protection hidden="1"/>
    </xf>
    <xf numFmtId="0" fontId="64" fillId="0" borderId="0" xfId="0" applyFont="1" applyAlignment="1">
      <alignment/>
    </xf>
    <xf numFmtId="177" fontId="64" fillId="0" borderId="13" xfId="0" applyNumberFormat="1" applyFont="1" applyBorder="1" applyAlignment="1" applyProtection="1">
      <alignment horizontal="center"/>
      <protection hidden="1"/>
    </xf>
    <xf numFmtId="49" fontId="64" fillId="0" borderId="13" xfId="0" applyNumberFormat="1" applyFont="1" applyBorder="1" applyAlignment="1" applyProtection="1">
      <alignment horizontal="center"/>
      <protection hidden="1"/>
    </xf>
    <xf numFmtId="0" fontId="62" fillId="0" borderId="0" xfId="0" applyFont="1" applyAlignment="1" applyProtection="1">
      <alignment/>
      <protection hidden="1"/>
    </xf>
    <xf numFmtId="0" fontId="62" fillId="0" borderId="0" xfId="0" applyFont="1" applyAlignment="1">
      <alignment/>
    </xf>
    <xf numFmtId="0" fontId="62" fillId="0" borderId="0" xfId="0" applyNumberFormat="1" applyFont="1" applyAlignment="1" applyProtection="1">
      <alignment/>
      <protection hidden="1"/>
    </xf>
    <xf numFmtId="0" fontId="64" fillId="0" borderId="13" xfId="0" applyFont="1" applyBorder="1" applyAlignment="1" applyProtection="1">
      <alignment horizontal="center"/>
      <protection hidden="1"/>
    </xf>
    <xf numFmtId="176" fontId="64" fillId="0" borderId="13" xfId="0" applyNumberFormat="1" applyFont="1" applyBorder="1" applyAlignment="1" applyProtection="1">
      <alignment horizontal="center"/>
      <protection hidden="1"/>
    </xf>
    <xf numFmtId="167" fontId="64" fillId="0" borderId="13" xfId="0" applyNumberFormat="1" applyFont="1" applyBorder="1" applyAlignment="1" applyProtection="1">
      <alignment horizontal="center"/>
      <protection hidden="1"/>
    </xf>
    <xf numFmtId="0" fontId="64" fillId="0" borderId="14" xfId="0" applyFont="1" applyBorder="1" applyAlignment="1" applyProtection="1">
      <alignment horizontal="center" vertical="top" wrapText="1"/>
      <protection hidden="1"/>
    </xf>
    <xf numFmtId="0" fontId="64" fillId="0" borderId="14" xfId="0" applyFont="1" applyBorder="1" applyAlignment="1" applyProtection="1">
      <alignment horizontal="center"/>
      <protection hidden="1"/>
    </xf>
    <xf numFmtId="177" fontId="62" fillId="0" borderId="0" xfId="0" applyNumberFormat="1" applyFont="1" applyAlignment="1" applyProtection="1">
      <alignment horizontal="left"/>
      <protection hidden="1"/>
    </xf>
    <xf numFmtId="0" fontId="57" fillId="0" borderId="0" xfId="0" applyNumberFormat="1" applyFont="1" applyAlignment="1" applyProtection="1">
      <alignment/>
      <protection hidden="1"/>
    </xf>
    <xf numFmtId="0" fontId="67" fillId="37" borderId="0" xfId="0" applyFont="1" applyFill="1" applyAlignment="1">
      <alignment/>
    </xf>
    <xf numFmtId="0" fontId="68" fillId="37" borderId="0" xfId="0" applyFont="1" applyFill="1" applyAlignment="1">
      <alignment/>
    </xf>
    <xf numFmtId="0" fontId="69" fillId="37" borderId="0" xfId="0" applyFont="1" applyFill="1" applyAlignment="1">
      <alignment/>
    </xf>
    <xf numFmtId="0" fontId="57" fillId="37" borderId="0" xfId="0" applyFont="1" applyFill="1" applyAlignment="1">
      <alignment/>
    </xf>
    <xf numFmtId="0" fontId="57" fillId="37" borderId="0" xfId="0" applyFont="1" applyFill="1" applyAlignment="1">
      <alignment horizontal="left" indent="5"/>
    </xf>
    <xf numFmtId="0" fontId="69" fillId="37" borderId="0" xfId="0" applyFont="1" applyFill="1" applyAlignment="1">
      <alignment horizontal="left"/>
    </xf>
    <xf numFmtId="0" fontId="64" fillId="37" borderId="0" xfId="0" applyFont="1" applyFill="1" applyAlignment="1">
      <alignment/>
    </xf>
    <xf numFmtId="0" fontId="69" fillId="37" borderId="0" xfId="0" applyFont="1" applyFill="1" applyAlignment="1">
      <alignment horizontal="left" indent="5"/>
    </xf>
    <xf numFmtId="0" fontId="60" fillId="37" borderId="0" xfId="0" applyFont="1" applyFill="1" applyAlignment="1">
      <alignment/>
    </xf>
    <xf numFmtId="0" fontId="70" fillId="37" borderId="0" xfId="0" applyFont="1" applyFill="1" applyAlignment="1">
      <alignment/>
    </xf>
    <xf numFmtId="0" fontId="70" fillId="37" borderId="0" xfId="0" applyFont="1" applyFill="1" applyAlignment="1">
      <alignment horizontal="left" indent="5"/>
    </xf>
    <xf numFmtId="0" fontId="70" fillId="37" borderId="0" xfId="0" applyFont="1" applyFill="1" applyAlignment="1">
      <alignment horizontal="center"/>
    </xf>
    <xf numFmtId="0" fontId="71" fillId="37" borderId="0" xfId="0" applyFont="1" applyFill="1" applyAlignment="1">
      <alignment horizontal="left" indent="5"/>
    </xf>
    <xf numFmtId="43" fontId="57" fillId="37" borderId="0" xfId="42" applyFont="1" applyFill="1" applyBorder="1" applyAlignment="1" applyProtection="1">
      <alignment/>
      <protection/>
    </xf>
    <xf numFmtId="0" fontId="72" fillId="37" borderId="0" xfId="0" applyFont="1" applyFill="1" applyAlignment="1" applyProtection="1">
      <alignment horizontal="center"/>
      <protection/>
    </xf>
    <xf numFmtId="0" fontId="73" fillId="37" borderId="0" xfId="0" applyFont="1" applyFill="1" applyAlignment="1" applyProtection="1">
      <alignment/>
      <protection/>
    </xf>
    <xf numFmtId="0" fontId="74" fillId="37" borderId="0" xfId="0" applyFont="1" applyFill="1" applyAlignment="1" applyProtection="1">
      <alignment/>
      <protection/>
    </xf>
    <xf numFmtId="0" fontId="72" fillId="37" borderId="0" xfId="0" applyFont="1" applyFill="1" applyAlignment="1" applyProtection="1">
      <alignment/>
      <protection/>
    </xf>
    <xf numFmtId="0" fontId="75" fillId="37" borderId="0" xfId="0" applyFont="1" applyFill="1" applyAlignment="1" applyProtection="1">
      <alignment/>
      <protection/>
    </xf>
    <xf numFmtId="0" fontId="58" fillId="0" borderId="0" xfId="0" applyFont="1" applyAlignment="1" applyProtection="1">
      <alignment/>
      <protection/>
    </xf>
    <xf numFmtId="0" fontId="60" fillId="37" borderId="0" xfId="0" applyFont="1" applyFill="1" applyAlignment="1" applyProtection="1">
      <alignment horizontal="center"/>
      <protection/>
    </xf>
    <xf numFmtId="0" fontId="76" fillId="37" borderId="0" xfId="0" applyFont="1" applyFill="1" applyAlignment="1" applyProtection="1">
      <alignment/>
      <protection/>
    </xf>
    <xf numFmtId="0" fontId="77" fillId="37" borderId="0" xfId="0" applyFont="1" applyFill="1" applyAlignment="1" applyProtection="1">
      <alignment/>
      <protection/>
    </xf>
    <xf numFmtId="0" fontId="60" fillId="37" borderId="0" xfId="0" applyFont="1" applyFill="1" applyAlignment="1" applyProtection="1">
      <alignment/>
      <protection/>
    </xf>
    <xf numFmtId="0" fontId="78" fillId="37" borderId="0" xfId="0" applyFont="1" applyFill="1" applyAlignment="1" applyProtection="1">
      <alignment/>
      <protection/>
    </xf>
    <xf numFmtId="0" fontId="59" fillId="0" borderId="0" xfId="0" applyFont="1" applyAlignment="1" applyProtection="1">
      <alignment/>
      <protection/>
    </xf>
    <xf numFmtId="15" fontId="60" fillId="37" borderId="0" xfId="0" applyNumberFormat="1" applyFont="1" applyFill="1" applyAlignment="1" applyProtection="1">
      <alignment horizontal="center"/>
      <protection/>
    </xf>
    <xf numFmtId="165" fontId="76" fillId="37" borderId="0" xfId="0" applyNumberFormat="1" applyFont="1" applyFill="1" applyAlignment="1" applyProtection="1">
      <alignment/>
      <protection/>
    </xf>
    <xf numFmtId="0" fontId="79" fillId="37" borderId="0" xfId="0" applyFont="1" applyFill="1" applyAlignment="1" applyProtection="1">
      <alignment/>
      <protection/>
    </xf>
    <xf numFmtId="0" fontId="80" fillId="37" borderId="0" xfId="0" applyFont="1" applyFill="1" applyAlignment="1" applyProtection="1">
      <alignment horizontal="center"/>
      <protection/>
    </xf>
    <xf numFmtId="0" fontId="81" fillId="37" borderId="0" xfId="0" applyFont="1" applyFill="1" applyAlignment="1" applyProtection="1">
      <alignment horizontal="center"/>
      <protection/>
    </xf>
    <xf numFmtId="0" fontId="82" fillId="37" borderId="0" xfId="0" applyFont="1" applyFill="1" applyAlignment="1" applyProtection="1">
      <alignment horizontal="center"/>
      <protection/>
    </xf>
    <xf numFmtId="0" fontId="81" fillId="37" borderId="0" xfId="0" applyFont="1" applyFill="1" applyAlignment="1" applyProtection="1">
      <alignment/>
      <protection/>
    </xf>
    <xf numFmtId="0" fontId="82" fillId="37" borderId="0" xfId="0" applyFont="1" applyFill="1" applyAlignment="1" applyProtection="1">
      <alignment/>
      <protection/>
    </xf>
    <xf numFmtId="0" fontId="83" fillId="37" borderId="0" xfId="0" applyFont="1" applyFill="1" applyAlignment="1" applyProtection="1">
      <alignment/>
      <protection/>
    </xf>
    <xf numFmtId="0" fontId="57" fillId="37" borderId="0" xfId="0" applyFont="1" applyFill="1" applyAlignment="1" applyProtection="1">
      <alignment/>
      <protection/>
    </xf>
    <xf numFmtId="0" fontId="81" fillId="37" borderId="0" xfId="0" applyFont="1" applyFill="1" applyAlignment="1">
      <alignment/>
    </xf>
    <xf numFmtId="0" fontId="82" fillId="37" borderId="0" xfId="0" applyFont="1" applyFill="1" applyBorder="1" applyAlignment="1" applyProtection="1">
      <alignment horizontal="center"/>
      <protection/>
    </xf>
    <xf numFmtId="0" fontId="84" fillId="37" borderId="0" xfId="0" applyFont="1" applyFill="1" applyAlignment="1" applyProtection="1">
      <alignment/>
      <protection/>
    </xf>
    <xf numFmtId="15" fontId="81" fillId="37" borderId="0" xfId="0" applyNumberFormat="1" applyFont="1" applyFill="1" applyAlignment="1" applyProtection="1">
      <alignment/>
      <protection/>
    </xf>
    <xf numFmtId="1" fontId="81" fillId="37" borderId="0" xfId="0" applyNumberFormat="1" applyFont="1" applyFill="1" applyAlignment="1" applyProtection="1">
      <alignment horizontal="center"/>
      <protection/>
    </xf>
    <xf numFmtId="14" fontId="81" fillId="37" borderId="0" xfId="0" applyNumberFormat="1" applyFont="1" applyFill="1" applyAlignment="1" applyProtection="1">
      <alignment horizontal="center"/>
      <protection/>
    </xf>
    <xf numFmtId="179" fontId="81" fillId="37" borderId="0" xfId="0" applyNumberFormat="1" applyFont="1" applyFill="1" applyAlignment="1" applyProtection="1">
      <alignment/>
      <protection/>
    </xf>
    <xf numFmtId="0" fontId="85" fillId="37" borderId="0" xfId="0" applyFont="1" applyFill="1" applyBorder="1" applyAlignment="1" applyProtection="1">
      <alignment horizontal="center"/>
      <protection/>
    </xf>
    <xf numFmtId="0" fontId="86" fillId="37" borderId="0" xfId="0" applyFont="1" applyFill="1" applyAlignment="1" applyProtection="1">
      <alignment horizontal="right"/>
      <protection/>
    </xf>
    <xf numFmtId="0" fontId="86" fillId="37" borderId="0" xfId="0" applyFont="1" applyFill="1" applyAlignment="1" applyProtection="1">
      <alignment horizontal="center"/>
      <protection/>
    </xf>
    <xf numFmtId="0" fontId="87" fillId="37" borderId="0" xfId="0" applyFont="1" applyFill="1" applyAlignment="1" applyProtection="1">
      <alignment/>
      <protection/>
    </xf>
    <xf numFmtId="0" fontId="85" fillId="37" borderId="0" xfId="0" applyFont="1" applyFill="1" applyAlignment="1" applyProtection="1">
      <alignment/>
      <protection/>
    </xf>
    <xf numFmtId="165" fontId="81" fillId="37" borderId="0" xfId="0" applyNumberFormat="1" applyFont="1" applyFill="1" applyAlignment="1" applyProtection="1">
      <alignment horizontal="right"/>
      <protection/>
    </xf>
    <xf numFmtId="165" fontId="81" fillId="37" borderId="0" xfId="0" applyNumberFormat="1" applyFont="1" applyFill="1" applyAlignment="1" applyProtection="1">
      <alignment/>
      <protection/>
    </xf>
    <xf numFmtId="0" fontId="88" fillId="37" borderId="0" xfId="0" applyFont="1" applyFill="1" applyAlignment="1" applyProtection="1">
      <alignment/>
      <protection/>
    </xf>
    <xf numFmtId="0" fontId="62" fillId="37" borderId="0" xfId="0" applyFont="1" applyFill="1" applyAlignment="1" applyProtection="1">
      <alignment/>
      <protection/>
    </xf>
    <xf numFmtId="0" fontId="62" fillId="0" borderId="0" xfId="0" applyFont="1" applyAlignment="1" applyProtection="1">
      <alignment/>
      <protection/>
    </xf>
    <xf numFmtId="0" fontId="81" fillId="37" borderId="0" xfId="0" applyFont="1" applyFill="1" applyAlignment="1" applyProtection="1">
      <alignment horizontal="right"/>
      <protection/>
    </xf>
    <xf numFmtId="0" fontId="80" fillId="37" borderId="0" xfId="0" applyFont="1" applyFill="1" applyAlignment="1" applyProtection="1">
      <alignment/>
      <protection/>
    </xf>
    <xf numFmtId="3" fontId="82" fillId="37" borderId="0" xfId="0" applyNumberFormat="1" applyFont="1" applyFill="1" applyBorder="1" applyAlignment="1" applyProtection="1">
      <alignment horizontal="center"/>
      <protection/>
    </xf>
    <xf numFmtId="165" fontId="76" fillId="37" borderId="0" xfId="0" applyNumberFormat="1" applyFont="1" applyFill="1" applyAlignment="1" applyProtection="1">
      <alignment horizontal="center"/>
      <protection/>
    </xf>
    <xf numFmtId="43" fontId="81" fillId="37" borderId="0" xfId="0" applyNumberFormat="1" applyFont="1" applyFill="1" applyAlignment="1" applyProtection="1">
      <alignment horizontal="right"/>
      <protection/>
    </xf>
    <xf numFmtId="170" fontId="82" fillId="37" borderId="0" xfId="0" applyNumberFormat="1" applyFont="1" applyFill="1" applyBorder="1" applyAlignment="1" applyProtection="1">
      <alignment horizontal="center"/>
      <protection/>
    </xf>
    <xf numFmtId="3" fontId="85" fillId="37" borderId="0" xfId="0" applyNumberFormat="1" applyFont="1" applyFill="1" applyAlignment="1" applyProtection="1">
      <alignment horizontal="center"/>
      <protection/>
    </xf>
    <xf numFmtId="0" fontId="87" fillId="37" borderId="0" xfId="0" applyFont="1" applyFill="1" applyAlignment="1" applyProtection="1">
      <alignment horizontal="right"/>
      <protection/>
    </xf>
    <xf numFmtId="165" fontId="87" fillId="37" borderId="0" xfId="0" applyNumberFormat="1" applyFont="1" applyFill="1" applyAlignment="1" applyProtection="1">
      <alignment/>
      <protection/>
    </xf>
    <xf numFmtId="165" fontId="84" fillId="37" borderId="0" xfId="0" applyNumberFormat="1" applyFont="1" applyFill="1" applyAlignment="1" applyProtection="1">
      <alignment/>
      <protection/>
    </xf>
    <xf numFmtId="3" fontId="82" fillId="37" borderId="0" xfId="0" applyNumberFormat="1" applyFont="1" applyFill="1" applyAlignment="1" applyProtection="1">
      <alignment horizontal="center"/>
      <protection/>
    </xf>
    <xf numFmtId="3" fontId="71" fillId="37" borderId="0" xfId="0" applyNumberFormat="1" applyFont="1" applyFill="1" applyBorder="1" applyAlignment="1" applyProtection="1">
      <alignment horizontal="center"/>
      <protection/>
    </xf>
    <xf numFmtId="0" fontId="81" fillId="37" borderId="0" xfId="0" applyFont="1" applyFill="1" applyAlignment="1" applyProtection="1">
      <alignment horizontal="left"/>
      <protection/>
    </xf>
    <xf numFmtId="3" fontId="82" fillId="37" borderId="0" xfId="0" applyNumberFormat="1" applyFont="1" applyFill="1" applyBorder="1" applyAlignment="1" applyProtection="1">
      <alignment horizontal="left"/>
      <protection/>
    </xf>
    <xf numFmtId="43" fontId="81" fillId="37" borderId="0" xfId="0" applyNumberFormat="1" applyFont="1" applyFill="1" applyAlignment="1" applyProtection="1">
      <alignment/>
      <protection/>
    </xf>
    <xf numFmtId="2" fontId="81" fillId="37" borderId="0" xfId="0" applyNumberFormat="1" applyFont="1" applyFill="1" applyAlignment="1" applyProtection="1">
      <alignment/>
      <protection/>
    </xf>
    <xf numFmtId="180" fontId="81" fillId="37" borderId="0" xfId="0" applyNumberFormat="1" applyFont="1" applyFill="1" applyAlignment="1" applyProtection="1">
      <alignment/>
      <protection/>
    </xf>
    <xf numFmtId="3" fontId="71" fillId="37" borderId="0" xfId="0" applyNumberFormat="1" applyFont="1" applyFill="1" applyAlignment="1" applyProtection="1">
      <alignment horizontal="center"/>
      <protection/>
    </xf>
    <xf numFmtId="3" fontId="84" fillId="37" borderId="0" xfId="0" applyNumberFormat="1" applyFont="1" applyFill="1" applyAlignment="1" applyProtection="1">
      <alignment horizontal="center"/>
      <protection/>
    </xf>
    <xf numFmtId="3" fontId="72" fillId="37" borderId="0" xfId="0" applyNumberFormat="1" applyFont="1" applyFill="1" applyAlignment="1" applyProtection="1">
      <alignment horizontal="center"/>
      <protection/>
    </xf>
    <xf numFmtId="43" fontId="74" fillId="37" borderId="0" xfId="42" applyFont="1" applyFill="1" applyBorder="1" applyAlignment="1" applyProtection="1">
      <alignment/>
      <protection/>
    </xf>
    <xf numFmtId="3" fontId="74" fillId="37" borderId="0" xfId="42" applyNumberFormat="1" applyFont="1" applyFill="1" applyAlignment="1" applyProtection="1">
      <alignment horizontal="center"/>
      <protection/>
    </xf>
    <xf numFmtId="167" fontId="81" fillId="37" borderId="0" xfId="0" applyNumberFormat="1" applyFont="1" applyFill="1" applyAlignment="1" applyProtection="1">
      <alignment/>
      <protection/>
    </xf>
    <xf numFmtId="167" fontId="85" fillId="37" borderId="0" xfId="0" applyNumberFormat="1" applyFont="1" applyFill="1" applyAlignment="1" applyProtection="1">
      <alignment horizontal="center"/>
      <protection/>
    </xf>
    <xf numFmtId="43" fontId="81" fillId="37" borderId="0" xfId="42" applyFont="1" applyFill="1" applyAlignment="1" applyProtection="1">
      <alignment/>
      <protection/>
    </xf>
    <xf numFmtId="167" fontId="81" fillId="37" borderId="0" xfId="42" applyNumberFormat="1" applyFont="1" applyFill="1" applyAlignment="1" applyProtection="1">
      <alignment/>
      <protection/>
    </xf>
    <xf numFmtId="0" fontId="81" fillId="37" borderId="0" xfId="0" applyFont="1" applyFill="1" applyAlignment="1" applyProtection="1">
      <alignment/>
      <protection/>
    </xf>
    <xf numFmtId="167" fontId="76" fillId="37" borderId="0" xfId="0" applyNumberFormat="1" applyFont="1" applyFill="1" applyAlignment="1" applyProtection="1">
      <alignment/>
      <protection/>
    </xf>
    <xf numFmtId="167" fontId="81" fillId="37" borderId="15" xfId="42" applyNumberFormat="1" applyFont="1" applyFill="1" applyBorder="1" applyAlignment="1" applyProtection="1">
      <alignment/>
      <protection/>
    </xf>
    <xf numFmtId="167" fontId="71" fillId="37" borderId="0" xfId="0" applyNumberFormat="1" applyFont="1" applyFill="1" applyAlignment="1" applyProtection="1">
      <alignment horizontal="center"/>
      <protection/>
    </xf>
    <xf numFmtId="43" fontId="76" fillId="37" borderId="0" xfId="42" applyFont="1" applyFill="1" applyAlignment="1" applyProtection="1">
      <alignment/>
      <protection/>
    </xf>
    <xf numFmtId="167" fontId="76" fillId="37" borderId="0" xfId="42" applyNumberFormat="1" applyFont="1" applyFill="1" applyBorder="1" applyAlignment="1" applyProtection="1">
      <alignment/>
      <protection/>
    </xf>
    <xf numFmtId="0" fontId="76" fillId="37" borderId="0" xfId="0" applyFont="1" applyFill="1" applyAlignment="1" applyProtection="1">
      <alignment/>
      <protection/>
    </xf>
    <xf numFmtId="43" fontId="84" fillId="37" borderId="11" xfId="42" applyFont="1" applyFill="1" applyBorder="1" applyAlignment="1" applyProtection="1">
      <alignment/>
      <protection/>
    </xf>
    <xf numFmtId="167" fontId="76" fillId="37" borderId="11" xfId="0" applyNumberFormat="1" applyFont="1" applyFill="1" applyBorder="1" applyAlignment="1" applyProtection="1">
      <alignment/>
      <protection/>
    </xf>
    <xf numFmtId="167" fontId="81" fillId="37" borderId="0" xfId="0" applyNumberFormat="1" applyFont="1" applyFill="1" applyAlignment="1" applyProtection="1">
      <alignment/>
      <protection/>
    </xf>
    <xf numFmtId="0" fontId="86" fillId="37" borderId="0" xfId="0" applyFont="1" applyFill="1" applyAlignment="1" applyProtection="1">
      <alignment/>
      <protection/>
    </xf>
    <xf numFmtId="43" fontId="74" fillId="37" borderId="0" xfId="42" applyFont="1" applyFill="1" applyAlignment="1" applyProtection="1">
      <alignment/>
      <protection/>
    </xf>
    <xf numFmtId="43" fontId="74" fillId="37" borderId="0" xfId="42" applyFont="1" applyFill="1" applyAlignment="1" applyProtection="1">
      <alignment horizontal="center"/>
      <protection/>
    </xf>
    <xf numFmtId="167" fontId="81" fillId="37" borderId="0" xfId="0" applyNumberFormat="1" applyFont="1" applyFill="1" applyBorder="1" applyAlignment="1" applyProtection="1">
      <alignment/>
      <protection/>
    </xf>
    <xf numFmtId="0" fontId="81" fillId="37" borderId="0" xfId="0" applyFont="1" applyFill="1" applyBorder="1" applyAlignment="1" applyProtection="1">
      <alignment/>
      <protection/>
    </xf>
    <xf numFmtId="4" fontId="81" fillId="37" borderId="0" xfId="0" applyNumberFormat="1" applyFont="1" applyFill="1" applyBorder="1" applyAlignment="1" applyProtection="1">
      <alignment/>
      <protection/>
    </xf>
    <xf numFmtId="167" fontId="81" fillId="37" borderId="0" xfId="0" applyNumberFormat="1" applyFont="1" applyFill="1" applyAlignment="1" applyProtection="1">
      <alignment horizontal="right"/>
      <protection/>
    </xf>
    <xf numFmtId="167" fontId="76" fillId="37" borderId="11" xfId="42" applyNumberFormat="1" applyFont="1" applyFill="1" applyBorder="1" applyAlignment="1" applyProtection="1">
      <alignment/>
      <protection/>
    </xf>
    <xf numFmtId="0" fontId="84" fillId="37" borderId="0" xfId="0" applyFont="1" applyFill="1" applyAlignment="1" applyProtection="1">
      <alignment horizontal="center"/>
      <protection/>
    </xf>
    <xf numFmtId="167" fontId="87" fillId="37" borderId="0" xfId="0" applyNumberFormat="1" applyFont="1" applyFill="1" applyAlignment="1" applyProtection="1">
      <alignment horizontal="center"/>
      <protection/>
    </xf>
    <xf numFmtId="167" fontId="71" fillId="37" borderId="0" xfId="0" applyNumberFormat="1" applyFont="1" applyFill="1" applyBorder="1" applyAlignment="1" applyProtection="1">
      <alignment horizontal="center"/>
      <protection/>
    </xf>
    <xf numFmtId="0" fontId="89" fillId="37" borderId="0" xfId="0" applyFont="1" applyFill="1" applyAlignment="1" applyProtection="1">
      <alignment horizontal="center"/>
      <protection/>
    </xf>
    <xf numFmtId="0" fontId="71" fillId="37" borderId="0" xfId="0" applyFont="1" applyFill="1" applyAlignment="1" applyProtection="1">
      <alignment horizontal="center"/>
      <protection/>
    </xf>
    <xf numFmtId="0" fontId="89" fillId="37" borderId="0" xfId="0" applyFont="1" applyFill="1" applyAlignment="1" applyProtection="1">
      <alignment horizontal="left"/>
      <protection/>
    </xf>
    <xf numFmtId="0" fontId="63" fillId="37" borderId="0" xfId="0" applyFont="1" applyFill="1" applyAlignment="1" applyProtection="1">
      <alignment horizontal="center"/>
      <protection/>
    </xf>
    <xf numFmtId="0" fontId="90" fillId="37" borderId="0" xfId="0" applyFont="1" applyFill="1" applyAlignment="1" applyProtection="1">
      <alignment horizontal="center"/>
      <protection/>
    </xf>
    <xf numFmtId="0" fontId="64" fillId="37" borderId="0" xfId="0" applyFont="1" applyFill="1" applyAlignment="1" applyProtection="1">
      <alignment horizontal="center"/>
      <protection/>
    </xf>
    <xf numFmtId="0" fontId="64" fillId="0" borderId="0" xfId="0" applyFont="1" applyAlignment="1" applyProtection="1">
      <alignment horizontal="center"/>
      <protection/>
    </xf>
    <xf numFmtId="0" fontId="91" fillId="37" borderId="0" xfId="0" applyFont="1" applyFill="1" applyAlignment="1" applyProtection="1">
      <alignment horizontal="center"/>
      <protection/>
    </xf>
    <xf numFmtId="0" fontId="92" fillId="37" borderId="0" xfId="0" applyFont="1" applyFill="1" applyAlignment="1" applyProtection="1">
      <alignment horizontal="center"/>
      <protection/>
    </xf>
    <xf numFmtId="0" fontId="92" fillId="0" borderId="0" xfId="0" applyFont="1" applyAlignment="1" applyProtection="1">
      <alignment horizontal="center"/>
      <protection/>
    </xf>
    <xf numFmtId="167" fontId="85" fillId="37" borderId="0" xfId="0" applyNumberFormat="1" applyFont="1" applyFill="1" applyAlignment="1" applyProtection="1">
      <alignment horizontal="center"/>
      <protection locked="0"/>
    </xf>
    <xf numFmtId="0" fontId="81" fillId="37" borderId="0" xfId="0" applyFont="1" applyFill="1" applyAlignment="1" applyProtection="1">
      <alignment/>
      <protection locked="0"/>
    </xf>
    <xf numFmtId="0" fontId="84" fillId="37" borderId="0" xfId="0" applyFont="1" applyFill="1" applyAlignment="1" applyProtection="1">
      <alignment horizontal="center"/>
      <protection locked="0"/>
    </xf>
    <xf numFmtId="0" fontId="84" fillId="37" borderId="0" xfId="0" applyFont="1" applyFill="1" applyAlignment="1" applyProtection="1">
      <alignment horizontal="left"/>
      <protection locked="0"/>
    </xf>
    <xf numFmtId="0" fontId="89" fillId="37" borderId="0" xfId="0" applyFont="1" applyFill="1" applyAlignment="1" applyProtection="1">
      <alignment horizontal="center"/>
      <protection locked="0"/>
    </xf>
    <xf numFmtId="0" fontId="63" fillId="37" borderId="0" xfId="0" applyFont="1" applyFill="1" applyAlignment="1" applyProtection="1">
      <alignment horizontal="center"/>
      <protection locked="0"/>
    </xf>
    <xf numFmtId="0" fontId="91" fillId="37" borderId="0" xfId="0" applyFont="1" applyFill="1" applyAlignment="1" applyProtection="1">
      <alignment horizontal="center"/>
      <protection locked="0"/>
    </xf>
    <xf numFmtId="0" fontId="92" fillId="37" borderId="0" xfId="0" applyFont="1" applyFill="1" applyAlignment="1" applyProtection="1">
      <alignment horizontal="center"/>
      <protection locked="0"/>
    </xf>
    <xf numFmtId="0" fontId="92" fillId="0" borderId="0" xfId="0" applyFont="1" applyAlignment="1" applyProtection="1">
      <alignment horizontal="center"/>
      <protection locked="0"/>
    </xf>
    <xf numFmtId="167" fontId="71" fillId="37" borderId="0" xfId="0" applyNumberFormat="1" applyFont="1" applyFill="1" applyBorder="1" applyAlignment="1" applyProtection="1">
      <alignment horizontal="center"/>
      <protection locked="0"/>
    </xf>
    <xf numFmtId="0" fontId="82" fillId="37" borderId="0" xfId="0" applyFont="1" applyFill="1" applyAlignment="1" applyProtection="1">
      <alignment/>
      <protection locked="0"/>
    </xf>
    <xf numFmtId="0" fontId="71" fillId="37" borderId="0" xfId="0" applyFont="1" applyFill="1" applyAlignment="1" applyProtection="1">
      <alignment horizontal="center" vertical="center" wrapText="1"/>
      <protection locked="0"/>
    </xf>
    <xf numFmtId="167" fontId="84" fillId="37" borderId="0" xfId="0" applyNumberFormat="1" applyFont="1" applyFill="1" applyAlignment="1" applyProtection="1">
      <alignment horizontal="center" vertical="center" wrapText="1"/>
      <protection locked="0"/>
    </xf>
    <xf numFmtId="0" fontId="84" fillId="37" borderId="0" xfId="0" applyFont="1" applyFill="1" applyAlignment="1" applyProtection="1">
      <alignment horizontal="center" vertical="center" wrapText="1"/>
      <protection locked="0"/>
    </xf>
    <xf numFmtId="0" fontId="83" fillId="37" borderId="0" xfId="0" applyFont="1" applyFill="1" applyAlignment="1" applyProtection="1">
      <alignment/>
      <protection locked="0"/>
    </xf>
    <xf numFmtId="0" fontId="57" fillId="37" borderId="0" xfId="0" applyFont="1" applyFill="1" applyAlignment="1" applyProtection="1">
      <alignment/>
      <protection locked="0"/>
    </xf>
    <xf numFmtId="0" fontId="60" fillId="37" borderId="0" xfId="0" applyFont="1" applyFill="1" applyAlignment="1" applyProtection="1">
      <alignment/>
      <protection locked="0"/>
    </xf>
    <xf numFmtId="167" fontId="87" fillId="37" borderId="0" xfId="42" applyNumberFormat="1" applyFont="1" applyFill="1" applyAlignment="1" applyProtection="1">
      <alignment horizontal="right"/>
      <protection locked="0"/>
    </xf>
    <xf numFmtId="179" fontId="87" fillId="37" borderId="0" xfId="0" applyNumberFormat="1" applyFont="1" applyFill="1" applyAlignment="1" applyProtection="1">
      <alignment horizontal="center"/>
      <protection locked="0"/>
    </xf>
    <xf numFmtId="4" fontId="83" fillId="37" borderId="0" xfId="0" applyNumberFormat="1" applyFont="1" applyFill="1" applyAlignment="1" applyProtection="1">
      <alignment/>
      <protection locked="0"/>
    </xf>
    <xf numFmtId="167" fontId="87" fillId="37" borderId="11" xfId="42" applyNumberFormat="1" applyFont="1" applyFill="1" applyBorder="1" applyAlignment="1" applyProtection="1">
      <alignment horizontal="right"/>
      <protection locked="0"/>
    </xf>
    <xf numFmtId="167" fontId="84" fillId="37" borderId="11" xfId="0" applyNumberFormat="1" applyFont="1" applyFill="1" applyBorder="1" applyAlignment="1" applyProtection="1">
      <alignment horizontal="center"/>
      <protection locked="0"/>
    </xf>
    <xf numFmtId="4" fontId="81" fillId="37" borderId="0" xfId="0" applyNumberFormat="1" applyFont="1" applyFill="1" applyAlignment="1" applyProtection="1">
      <alignment/>
      <protection locked="0"/>
    </xf>
    <xf numFmtId="4" fontId="82" fillId="37" borderId="0" xfId="0" applyNumberFormat="1" applyFont="1" applyFill="1" applyAlignment="1" applyProtection="1">
      <alignment/>
      <protection locked="0"/>
    </xf>
    <xf numFmtId="0" fontId="82" fillId="37" borderId="0" xfId="0" applyFont="1" applyFill="1" applyAlignment="1" applyProtection="1">
      <alignment horizontal="center"/>
      <protection locked="0"/>
    </xf>
    <xf numFmtId="0" fontId="89" fillId="37" borderId="0" xfId="0" applyFont="1" applyFill="1" applyAlignment="1" applyProtection="1">
      <alignment/>
      <protection locked="0"/>
    </xf>
    <xf numFmtId="167" fontId="82" fillId="37" borderId="0" xfId="0" applyNumberFormat="1" applyFont="1" applyFill="1" applyAlignment="1" applyProtection="1">
      <alignment/>
      <protection locked="0"/>
    </xf>
    <xf numFmtId="0" fontId="89" fillId="37" borderId="0" xfId="0" applyFont="1" applyFill="1" applyAlignment="1" applyProtection="1">
      <alignment horizontal="left"/>
      <protection locked="0"/>
    </xf>
    <xf numFmtId="1" fontId="57" fillId="37" borderId="0" xfId="42" applyNumberFormat="1" applyFont="1" applyFill="1" applyBorder="1" applyAlignment="1" applyProtection="1">
      <alignment horizontal="center"/>
      <protection/>
    </xf>
    <xf numFmtId="1" fontId="57" fillId="37" borderId="12" xfId="42" applyNumberFormat="1" applyFont="1" applyFill="1" applyBorder="1" applyAlignment="1" applyProtection="1">
      <alignment horizontal="center"/>
      <protection/>
    </xf>
    <xf numFmtId="1" fontId="57" fillId="37" borderId="0" xfId="0" applyNumberFormat="1" applyFont="1" applyFill="1" applyBorder="1" applyAlignment="1" applyProtection="1">
      <alignment horizontal="center"/>
      <protection/>
    </xf>
    <xf numFmtId="43" fontId="58" fillId="37" borderId="0" xfId="42" applyFont="1" applyFill="1" applyBorder="1" applyAlignment="1" applyProtection="1">
      <alignment/>
      <protection/>
    </xf>
    <xf numFmtId="43" fontId="58" fillId="37" borderId="0" xfId="42" applyFont="1" applyFill="1" applyBorder="1" applyAlignment="1" applyProtection="1">
      <alignment horizontal="center"/>
      <protection/>
    </xf>
    <xf numFmtId="3" fontId="58" fillId="37" borderId="0" xfId="0" applyNumberFormat="1" applyFont="1" applyFill="1" applyAlignment="1" applyProtection="1">
      <alignment horizontal="center"/>
      <protection/>
    </xf>
    <xf numFmtId="43" fontId="57" fillId="37" borderId="0" xfId="42" applyFont="1" applyFill="1" applyAlignment="1" applyProtection="1">
      <alignment horizontal="left" indent="11"/>
      <protection/>
    </xf>
    <xf numFmtId="167" fontId="57" fillId="37" borderId="0" xfId="42" applyNumberFormat="1" applyFont="1" applyFill="1" applyAlignment="1" applyProtection="1">
      <alignment horizontal="center"/>
      <protection/>
    </xf>
    <xf numFmtId="167" fontId="62" fillId="37" borderId="0" xfId="0" applyNumberFormat="1" applyFont="1" applyFill="1" applyAlignment="1" applyProtection="1">
      <alignment horizontal="center"/>
      <protection/>
    </xf>
    <xf numFmtId="43" fontId="57" fillId="37" borderId="10" xfId="42" applyFont="1" applyFill="1" applyBorder="1" applyAlignment="1" applyProtection="1">
      <alignment horizontal="left" indent="11"/>
      <protection/>
    </xf>
    <xf numFmtId="167" fontId="57" fillId="37" borderId="10" xfId="42" applyNumberFormat="1" applyFont="1" applyFill="1" applyBorder="1" applyAlignment="1" applyProtection="1">
      <alignment horizontal="center"/>
      <protection/>
    </xf>
    <xf numFmtId="43" fontId="57" fillId="37" borderId="0" xfId="42" applyFont="1" applyFill="1" applyBorder="1" applyAlignment="1" applyProtection="1">
      <alignment horizontal="left" indent="11"/>
      <protection/>
    </xf>
    <xf numFmtId="167" fontId="57" fillId="37" borderId="0" xfId="42" applyNumberFormat="1" applyFont="1" applyFill="1" applyBorder="1" applyAlignment="1" applyProtection="1">
      <alignment horizontal="center"/>
      <protection/>
    </xf>
    <xf numFmtId="167" fontId="64" fillId="37" borderId="0" xfId="0" applyNumberFormat="1" applyFont="1" applyFill="1" applyAlignment="1" applyProtection="1">
      <alignment horizontal="center"/>
      <protection/>
    </xf>
    <xf numFmtId="1" fontId="60" fillId="37" borderId="0" xfId="42" applyNumberFormat="1" applyFont="1" applyFill="1" applyAlignment="1" applyProtection="1">
      <alignment horizontal="center"/>
      <protection/>
    </xf>
    <xf numFmtId="43" fontId="59" fillId="37" borderId="11" xfId="42" applyFont="1" applyFill="1" applyBorder="1" applyAlignment="1" applyProtection="1">
      <alignment horizontal="left" indent="11"/>
      <protection/>
    </xf>
    <xf numFmtId="167" fontId="59" fillId="37" borderId="11" xfId="42" applyNumberFormat="1" applyFont="1" applyFill="1" applyBorder="1" applyAlignment="1" applyProtection="1">
      <alignment horizontal="center"/>
      <protection/>
    </xf>
    <xf numFmtId="1" fontId="63" fillId="37" borderId="0" xfId="42" applyNumberFormat="1" applyFont="1" applyFill="1" applyAlignment="1" applyProtection="1">
      <alignment horizontal="center"/>
      <protection/>
    </xf>
    <xf numFmtId="167" fontId="60" fillId="37" borderId="0" xfId="42" applyNumberFormat="1" applyFont="1" applyFill="1" applyAlignment="1" applyProtection="1">
      <alignment horizontal="center"/>
      <protection/>
    </xf>
    <xf numFmtId="43" fontId="58" fillId="37" borderId="0" xfId="42" applyFont="1" applyFill="1" applyAlignment="1" applyProtection="1">
      <alignment/>
      <protection/>
    </xf>
    <xf numFmtId="1" fontId="57" fillId="37" borderId="0" xfId="0" applyNumberFormat="1" applyFont="1" applyFill="1" applyAlignment="1" applyProtection="1">
      <alignment horizontal="center"/>
      <protection/>
    </xf>
    <xf numFmtId="176" fontId="57" fillId="37" borderId="0" xfId="0" applyNumberFormat="1" applyFont="1" applyFill="1" applyAlignment="1" applyProtection="1">
      <alignment horizontal="center"/>
      <protection/>
    </xf>
    <xf numFmtId="0" fontId="0" fillId="8" borderId="0" xfId="0" applyFill="1" applyAlignment="1">
      <alignment/>
    </xf>
    <xf numFmtId="0" fontId="0" fillId="8" borderId="0" xfId="0" applyFont="1" applyFill="1" applyAlignment="1">
      <alignment/>
    </xf>
    <xf numFmtId="0" fontId="93" fillId="0" borderId="0" xfId="0" applyFont="1" applyAlignment="1" applyProtection="1">
      <alignment horizontal="center"/>
      <protection hidden="1"/>
    </xf>
    <xf numFmtId="0" fontId="23" fillId="0" borderId="0" xfId="0" applyFont="1" applyAlignment="1" applyProtection="1">
      <alignment/>
      <protection hidden="1"/>
    </xf>
    <xf numFmtId="0" fontId="23" fillId="0" borderId="0" xfId="0" applyFont="1" applyAlignment="1">
      <alignment/>
    </xf>
    <xf numFmtId="49" fontId="93" fillId="0" borderId="0" xfId="0" applyNumberFormat="1" applyFont="1" applyAlignment="1" applyProtection="1">
      <alignment horizontal="center"/>
      <protection hidden="1"/>
    </xf>
    <xf numFmtId="0" fontId="93" fillId="0" borderId="13" xfId="0" applyFont="1" applyBorder="1" applyAlignment="1" applyProtection="1">
      <alignment horizontal="center" vertical="top" wrapText="1"/>
      <protection hidden="1"/>
    </xf>
    <xf numFmtId="0" fontId="93" fillId="0" borderId="13" xfId="0" applyFont="1" applyBorder="1" applyAlignment="1">
      <alignment horizontal="center"/>
    </xf>
    <xf numFmtId="0" fontId="93" fillId="0" borderId="0" xfId="0" applyFont="1" applyAlignment="1" applyProtection="1">
      <alignment/>
      <protection hidden="1"/>
    </xf>
    <xf numFmtId="0" fontId="93" fillId="0" borderId="0" xfId="0" applyFont="1" applyAlignment="1">
      <alignment/>
    </xf>
    <xf numFmtId="177" fontId="93" fillId="0" borderId="13" xfId="0" applyNumberFormat="1" applyFont="1" applyBorder="1" applyAlignment="1" applyProtection="1">
      <alignment horizontal="center"/>
      <protection hidden="1"/>
    </xf>
    <xf numFmtId="49" fontId="93" fillId="0" borderId="13" xfId="0" applyNumberFormat="1" applyFont="1" applyBorder="1" applyAlignment="1" applyProtection="1">
      <alignment horizontal="center"/>
      <protection hidden="1"/>
    </xf>
    <xf numFmtId="0" fontId="93" fillId="0" borderId="13" xfId="0" applyFont="1" applyBorder="1" applyAlignment="1" applyProtection="1">
      <alignment horizontal="center"/>
      <protection hidden="1"/>
    </xf>
    <xf numFmtId="176" fontId="93" fillId="0" borderId="13" xfId="0" applyNumberFormat="1" applyFont="1" applyBorder="1" applyAlignment="1" applyProtection="1">
      <alignment horizontal="center"/>
      <protection hidden="1"/>
    </xf>
    <xf numFmtId="0" fontId="93" fillId="0" borderId="13" xfId="0" applyFont="1" applyFill="1" applyBorder="1" applyAlignment="1" applyProtection="1">
      <alignment horizontal="center" vertical="top" wrapText="1"/>
      <protection hidden="1"/>
    </xf>
    <xf numFmtId="0" fontId="93" fillId="0" borderId="13" xfId="0" applyNumberFormat="1" applyFont="1" applyBorder="1" applyAlignment="1" applyProtection="1">
      <alignment horizontal="center"/>
      <protection hidden="1"/>
    </xf>
    <xf numFmtId="167" fontId="93" fillId="0" borderId="13" xfId="0" applyNumberFormat="1" applyFont="1" applyBorder="1" applyAlignment="1" applyProtection="1">
      <alignment horizontal="center"/>
      <protection hidden="1"/>
    </xf>
    <xf numFmtId="0" fontId="93" fillId="0" borderId="14" xfId="0" applyFont="1" applyBorder="1" applyAlignment="1" applyProtection="1">
      <alignment horizontal="center" vertical="top" wrapText="1"/>
      <protection hidden="1"/>
    </xf>
    <xf numFmtId="167" fontId="23" fillId="0" borderId="0" xfId="0" applyNumberFormat="1" applyFont="1" applyAlignment="1" applyProtection="1">
      <alignment/>
      <protection hidden="1"/>
    </xf>
    <xf numFmtId="0" fontId="93" fillId="0" borderId="14" xfId="0" applyFont="1" applyBorder="1" applyAlignment="1" applyProtection="1">
      <alignment horizontal="center"/>
      <protection hidden="1"/>
    </xf>
    <xf numFmtId="177" fontId="23" fillId="0" borderId="0" xfId="0" applyNumberFormat="1" applyFont="1" applyAlignment="1" applyProtection="1">
      <alignment horizontal="left"/>
      <protection hidden="1"/>
    </xf>
    <xf numFmtId="0" fontId="94" fillId="0" borderId="0" xfId="0" applyFont="1" applyAlignment="1" applyProtection="1">
      <alignment/>
      <protection hidden="1"/>
    </xf>
    <xf numFmtId="0" fontId="58" fillId="0" borderId="0" xfId="0" applyFont="1" applyAlignment="1" applyProtection="1">
      <alignment horizontal="left"/>
      <protection hidden="1"/>
    </xf>
    <xf numFmtId="43" fontId="58" fillId="0" borderId="0" xfId="0" applyNumberFormat="1" applyFont="1" applyAlignment="1" applyProtection="1">
      <alignment horizontal="left"/>
      <protection hidden="1"/>
    </xf>
    <xf numFmtId="0" fontId="23" fillId="0" borderId="0" xfId="0" applyFont="1" applyAlignment="1" applyProtection="1">
      <alignment/>
      <protection hidden="1"/>
    </xf>
    <xf numFmtId="0" fontId="57" fillId="38" borderId="16" xfId="0" applyFont="1" applyFill="1" applyBorder="1" applyAlignment="1" applyProtection="1">
      <alignment horizontal="center"/>
      <protection/>
    </xf>
    <xf numFmtId="1" fontId="25" fillId="38" borderId="17" xfId="42" applyNumberFormat="1" applyFont="1" applyFill="1" applyBorder="1" applyAlignment="1" applyProtection="1">
      <alignment horizontal="center" vertical="center"/>
      <protection/>
    </xf>
    <xf numFmtId="1" fontId="25" fillId="38" borderId="18" xfId="42" applyNumberFormat="1" applyFont="1" applyFill="1" applyBorder="1" applyAlignment="1" applyProtection="1">
      <alignment horizontal="center"/>
      <protection/>
    </xf>
    <xf numFmtId="0" fontId="26" fillId="38" borderId="16" xfId="0" applyFont="1" applyFill="1" applyBorder="1" applyAlignment="1" applyProtection="1">
      <alignment horizontal="center"/>
      <protection/>
    </xf>
    <xf numFmtId="1" fontId="0" fillId="37" borderId="12" xfId="42" applyNumberFormat="1" applyFont="1" applyFill="1" applyBorder="1" applyAlignment="1" applyProtection="1">
      <alignment horizontal="center"/>
      <protection/>
    </xf>
    <xf numFmtId="1" fontId="0" fillId="37" borderId="0" xfId="42" applyNumberFormat="1" applyFont="1" applyFill="1" applyBorder="1" applyAlignment="1" applyProtection="1">
      <alignment horizontal="center"/>
      <protection/>
    </xf>
    <xf numFmtId="43" fontId="0" fillId="37" borderId="0" xfId="42" applyFont="1" applyFill="1" applyBorder="1" applyAlignment="1" applyProtection="1">
      <alignment/>
      <protection/>
    </xf>
    <xf numFmtId="43" fontId="0" fillId="37" borderId="0" xfId="42" applyFont="1" applyFill="1" applyBorder="1" applyAlignment="1" applyProtection="1">
      <alignment horizontal="center"/>
      <protection/>
    </xf>
    <xf numFmtId="0" fontId="0" fillId="37" borderId="19" xfId="0" applyFont="1" applyFill="1" applyBorder="1" applyAlignment="1" applyProtection="1">
      <alignment horizontal="center"/>
      <protection/>
    </xf>
    <xf numFmtId="1" fontId="27" fillId="37" borderId="12" xfId="42" applyNumberFormat="1" applyFont="1" applyFill="1" applyBorder="1" applyAlignment="1" applyProtection="1">
      <alignment horizontal="center"/>
      <protection/>
    </xf>
    <xf numFmtId="1" fontId="27" fillId="37" borderId="0" xfId="42" applyNumberFormat="1" applyFont="1" applyFill="1" applyBorder="1" applyAlignment="1" applyProtection="1">
      <alignment horizontal="center"/>
      <protection/>
    </xf>
    <xf numFmtId="43" fontId="28" fillId="33" borderId="0" xfId="42" applyFont="1" applyFill="1" applyBorder="1" applyAlignment="1" applyProtection="1">
      <alignment horizontal="center"/>
      <protection locked="0"/>
    </xf>
    <xf numFmtId="1" fontId="27" fillId="37" borderId="0" xfId="0" applyNumberFormat="1" applyFont="1" applyFill="1" applyAlignment="1" applyProtection="1">
      <alignment horizontal="center"/>
      <protection/>
    </xf>
    <xf numFmtId="1" fontId="27" fillId="37" borderId="0" xfId="42" applyNumberFormat="1" applyFont="1" applyFill="1" applyAlignment="1" applyProtection="1">
      <alignment horizontal="center"/>
      <protection/>
    </xf>
    <xf numFmtId="1" fontId="1" fillId="0" borderId="0" xfId="42" applyNumberFormat="1" applyFont="1" applyBorder="1" applyAlignment="1" applyProtection="1">
      <alignment horizontal="center"/>
      <protection/>
    </xf>
    <xf numFmtId="164" fontId="29" fillId="39" borderId="20" xfId="42" applyNumberFormat="1" applyFont="1" applyFill="1" applyBorder="1" applyAlignment="1" applyProtection="1">
      <alignment horizontal="left"/>
      <protection/>
    </xf>
    <xf numFmtId="164" fontId="30" fillId="33" borderId="15" xfId="42" applyNumberFormat="1" applyFont="1" applyFill="1" applyBorder="1" applyAlignment="1" applyProtection="1">
      <alignment horizontal="center"/>
      <protection locked="0"/>
    </xf>
    <xf numFmtId="164" fontId="30" fillId="36" borderId="16" xfId="42" applyNumberFormat="1" applyFont="1" applyFill="1" applyBorder="1" applyAlignment="1" applyProtection="1">
      <alignment horizontal="center"/>
      <protection/>
    </xf>
    <xf numFmtId="43" fontId="27" fillId="0" borderId="0" xfId="42" applyFont="1" applyBorder="1" applyAlignment="1" applyProtection="1">
      <alignment/>
      <protection/>
    </xf>
    <xf numFmtId="0" fontId="27" fillId="36" borderId="19" xfId="0" applyFont="1" applyFill="1" applyBorder="1" applyAlignment="1" applyProtection="1">
      <alignment horizontal="center"/>
      <protection/>
    </xf>
    <xf numFmtId="43" fontId="27" fillId="0" borderId="0" xfId="42" applyFont="1" applyBorder="1" applyAlignment="1" applyProtection="1">
      <alignment vertical="top" wrapText="1"/>
      <protection locked="0"/>
    </xf>
    <xf numFmtId="43" fontId="27" fillId="0" borderId="0" xfId="42" applyFont="1" applyBorder="1" applyAlignment="1" applyProtection="1">
      <alignment/>
      <protection locked="0"/>
    </xf>
    <xf numFmtId="43" fontId="27" fillId="37" borderId="0" xfId="42" applyFont="1" applyFill="1" applyBorder="1" applyAlignment="1" applyProtection="1">
      <alignment/>
      <protection locked="0"/>
    </xf>
    <xf numFmtId="169" fontId="28" fillId="33" borderId="0" xfId="42" applyNumberFormat="1" applyFont="1" applyFill="1" applyBorder="1" applyAlignment="1" applyProtection="1">
      <alignment horizontal="center"/>
      <protection locked="0"/>
    </xf>
    <xf numFmtId="43" fontId="27" fillId="37" borderId="0" xfId="42" applyFont="1" applyFill="1" applyBorder="1" applyAlignment="1" applyProtection="1">
      <alignment/>
      <protection/>
    </xf>
    <xf numFmtId="3" fontId="28" fillId="33" borderId="0" xfId="42" applyNumberFormat="1" applyFont="1" applyFill="1" applyBorder="1" applyAlignment="1" applyProtection="1">
      <alignment horizontal="center"/>
      <protection locked="0"/>
    </xf>
    <xf numFmtId="3" fontId="27" fillId="36" borderId="19" xfId="0" applyNumberFormat="1" applyFont="1" applyFill="1" applyBorder="1" applyAlignment="1" applyProtection="1">
      <alignment horizontal="center"/>
      <protection/>
    </xf>
    <xf numFmtId="164" fontId="28" fillId="33" borderId="0" xfId="42" applyNumberFormat="1" applyFont="1" applyFill="1" applyBorder="1" applyAlignment="1" applyProtection="1">
      <alignment horizontal="center"/>
      <protection locked="0"/>
    </xf>
    <xf numFmtId="43" fontId="27" fillId="37" borderId="0" xfId="42" applyFont="1" applyFill="1" applyBorder="1" applyAlignment="1" applyProtection="1">
      <alignment vertical="top" wrapText="1"/>
      <protection/>
    </xf>
    <xf numFmtId="170" fontId="30" fillId="33" borderId="19" xfId="0" applyNumberFormat="1" applyFont="1" applyFill="1" applyBorder="1" applyAlignment="1" applyProtection="1">
      <alignment horizontal="center"/>
      <protection locked="0"/>
    </xf>
    <xf numFmtId="170" fontId="27" fillId="36" borderId="19" xfId="0" applyNumberFormat="1" applyFont="1" applyFill="1" applyBorder="1" applyAlignment="1" applyProtection="1">
      <alignment horizontal="center"/>
      <protection/>
    </xf>
    <xf numFmtId="164" fontId="30" fillId="36" borderId="15" xfId="42" applyNumberFormat="1" applyFont="1" applyFill="1" applyBorder="1" applyAlignment="1" applyProtection="1">
      <alignment horizontal="center"/>
      <protection/>
    </xf>
    <xf numFmtId="170" fontId="30" fillId="33" borderId="21" xfId="0" applyNumberFormat="1" applyFont="1" applyFill="1" applyBorder="1" applyAlignment="1" applyProtection="1">
      <alignment horizontal="center"/>
      <protection locked="0"/>
    </xf>
    <xf numFmtId="43" fontId="62" fillId="0" borderId="0" xfId="42" applyFont="1" applyBorder="1" applyAlignment="1" applyProtection="1">
      <alignment/>
      <protection/>
    </xf>
    <xf numFmtId="164" fontId="95" fillId="0" borderId="0" xfId="42" applyNumberFormat="1" applyFont="1" applyAlignment="1" applyProtection="1">
      <alignment horizontal="center"/>
      <protection/>
    </xf>
    <xf numFmtId="3" fontId="62" fillId="0" borderId="0" xfId="0" applyNumberFormat="1" applyFont="1" applyAlignment="1" applyProtection="1">
      <alignment horizontal="center"/>
      <protection/>
    </xf>
    <xf numFmtId="1" fontId="119" fillId="38" borderId="17" xfId="42" applyNumberFormat="1" applyFont="1" applyFill="1" applyBorder="1" applyAlignment="1" applyProtection="1">
      <alignment horizontal="center"/>
      <protection/>
    </xf>
    <xf numFmtId="1" fontId="57" fillId="38" borderId="18" xfId="42" applyNumberFormat="1" applyFont="1" applyFill="1" applyBorder="1" applyAlignment="1" applyProtection="1">
      <alignment horizontal="center"/>
      <protection/>
    </xf>
    <xf numFmtId="43" fontId="57" fillId="38" borderId="18" xfId="42" applyFont="1" applyFill="1" applyBorder="1" applyAlignment="1" applyProtection="1">
      <alignment/>
      <protection/>
    </xf>
    <xf numFmtId="43" fontId="57" fillId="38" borderId="18" xfId="42" applyFont="1" applyFill="1" applyBorder="1" applyAlignment="1" applyProtection="1">
      <alignment horizontal="center"/>
      <protection/>
    </xf>
    <xf numFmtId="1" fontId="28" fillId="33" borderId="12" xfId="42" applyNumberFormat="1" applyFont="1" applyFill="1" applyBorder="1" applyAlignment="1" applyProtection="1">
      <alignment horizontal="center" wrapText="1"/>
      <protection/>
    </xf>
    <xf numFmtId="1" fontId="25" fillId="38" borderId="17" xfId="42" applyNumberFormat="1" applyFont="1" applyFill="1" applyBorder="1" applyAlignment="1" applyProtection="1">
      <alignment horizontal="center"/>
      <protection/>
    </xf>
    <xf numFmtId="43" fontId="25" fillId="38" borderId="18" xfId="42" applyFont="1" applyFill="1" applyBorder="1" applyAlignment="1" applyProtection="1">
      <alignment horizontal="center"/>
      <protection/>
    </xf>
    <xf numFmtId="164" fontId="25" fillId="38" borderId="18" xfId="42" applyNumberFormat="1" applyFont="1" applyFill="1" applyBorder="1" applyAlignment="1" applyProtection="1">
      <alignment horizontal="center"/>
      <protection/>
    </xf>
    <xf numFmtId="3" fontId="25" fillId="38" borderId="16" xfId="0" applyNumberFormat="1" applyFont="1" applyFill="1" applyBorder="1" applyAlignment="1" applyProtection="1">
      <alignment horizontal="center"/>
      <protection/>
    </xf>
    <xf numFmtId="43" fontId="27" fillId="37" borderId="0" xfId="42" applyFont="1" applyFill="1" applyBorder="1" applyAlignment="1" applyProtection="1">
      <alignment horizontal="right"/>
      <protection/>
    </xf>
    <xf numFmtId="166" fontId="27" fillId="37" borderId="0" xfId="42" applyNumberFormat="1" applyFont="1" applyFill="1" applyBorder="1" applyAlignment="1" applyProtection="1">
      <alignment horizontal="center"/>
      <protection/>
    </xf>
    <xf numFmtId="164" fontId="30" fillId="33" borderId="0" xfId="42" applyNumberFormat="1" applyFont="1" applyFill="1" applyBorder="1" applyAlignment="1" applyProtection="1">
      <alignment horizontal="center"/>
      <protection locked="0"/>
    </xf>
    <xf numFmtId="43" fontId="27" fillId="37" borderId="0" xfId="42" applyFont="1" applyFill="1" applyAlignment="1" applyProtection="1">
      <alignment/>
      <protection/>
    </xf>
    <xf numFmtId="3" fontId="27" fillId="37" borderId="0" xfId="42" applyNumberFormat="1" applyFont="1" applyFill="1" applyAlignment="1" applyProtection="1">
      <alignment horizontal="center"/>
      <protection/>
    </xf>
    <xf numFmtId="3" fontId="27" fillId="0" borderId="0" xfId="0" applyNumberFormat="1" applyFont="1" applyAlignment="1" applyProtection="1">
      <alignment horizontal="center"/>
      <protection/>
    </xf>
    <xf numFmtId="164" fontId="27" fillId="0" borderId="0" xfId="42" applyNumberFormat="1" applyFont="1" applyBorder="1" applyAlignment="1" applyProtection="1">
      <alignment horizontal="center"/>
      <protection/>
    </xf>
    <xf numFmtId="167" fontId="31" fillId="38" borderId="22" xfId="0" applyNumberFormat="1" applyFont="1" applyFill="1" applyBorder="1" applyAlignment="1" applyProtection="1">
      <alignment horizontal="center"/>
      <protection/>
    </xf>
    <xf numFmtId="1" fontId="119" fillId="38" borderId="18" xfId="42" applyNumberFormat="1" applyFont="1" applyFill="1" applyBorder="1" applyAlignment="1" applyProtection="1">
      <alignment horizontal="left"/>
      <protection/>
    </xf>
    <xf numFmtId="164" fontId="120" fillId="38" borderId="0" xfId="42" applyNumberFormat="1" applyFont="1" applyFill="1" applyBorder="1" applyAlignment="1" applyProtection="1">
      <alignment horizontal="center"/>
      <protection/>
    </xf>
    <xf numFmtId="3" fontId="120" fillId="38" borderId="19" xfId="0" applyNumberFormat="1" applyFont="1" applyFill="1" applyBorder="1" applyAlignment="1" applyProtection="1">
      <alignment horizontal="center"/>
      <protection/>
    </xf>
    <xf numFmtId="1" fontId="6" fillId="37" borderId="0" xfId="0" applyNumberFormat="1" applyFont="1" applyFill="1" applyAlignment="1" applyProtection="1">
      <alignment horizontal="right"/>
      <protection locked="0"/>
    </xf>
    <xf numFmtId="0" fontId="6" fillId="37" borderId="0" xfId="0" applyFont="1" applyFill="1" applyAlignment="1" applyProtection="1">
      <alignment/>
      <protection locked="0"/>
    </xf>
    <xf numFmtId="0" fontId="27" fillId="37" borderId="0" xfId="0" applyFont="1" applyFill="1" applyAlignment="1" applyProtection="1">
      <alignment horizontal="center"/>
      <protection locked="0"/>
    </xf>
    <xf numFmtId="1" fontId="27" fillId="0" borderId="0" xfId="0" applyNumberFormat="1" applyFont="1" applyAlignment="1" applyProtection="1">
      <alignment horizontal="center"/>
      <protection locked="0"/>
    </xf>
    <xf numFmtId="1" fontId="27" fillId="37" borderId="0" xfId="0" applyNumberFormat="1" applyFont="1" applyFill="1" applyAlignment="1" applyProtection="1">
      <alignment horizontal="center"/>
      <protection locked="0"/>
    </xf>
    <xf numFmtId="0" fontId="27" fillId="37" borderId="0" xfId="0" applyFont="1" applyFill="1" applyAlignment="1" applyProtection="1">
      <alignment/>
      <protection locked="0"/>
    </xf>
    <xf numFmtId="188" fontId="27" fillId="37" borderId="0" xfId="0" applyNumberFormat="1" applyFont="1" applyFill="1" applyAlignment="1" applyProtection="1">
      <alignment horizontal="right"/>
      <protection locked="0"/>
    </xf>
    <xf numFmtId="43" fontId="27" fillId="37" borderId="0" xfId="42" applyFont="1" applyFill="1" applyAlignment="1" applyProtection="1">
      <alignment/>
      <protection locked="0"/>
    </xf>
    <xf numFmtId="14" fontId="27" fillId="37" borderId="0" xfId="0" applyNumberFormat="1" applyFont="1" applyFill="1" applyAlignment="1" applyProtection="1">
      <alignment horizontal="center"/>
      <protection locked="0"/>
    </xf>
    <xf numFmtId="167" fontId="32" fillId="37" borderId="17" xfId="0" applyNumberFormat="1" applyFont="1" applyFill="1" applyBorder="1" applyAlignment="1" applyProtection="1">
      <alignment horizontal="center" vertical="center" wrapText="1"/>
      <protection locked="0"/>
    </xf>
    <xf numFmtId="167" fontId="32" fillId="37" borderId="18" xfId="0" applyNumberFormat="1" applyFont="1" applyFill="1" applyBorder="1" applyAlignment="1" applyProtection="1">
      <alignment horizontal="center" vertical="center" wrapText="1"/>
      <protection locked="0"/>
    </xf>
    <xf numFmtId="0" fontId="32" fillId="37" borderId="18" xfId="0" applyFont="1" applyFill="1" applyBorder="1" applyAlignment="1" applyProtection="1">
      <alignment horizontal="left" vertical="center" wrapText="1" indent="11"/>
      <protection locked="0"/>
    </xf>
    <xf numFmtId="0" fontId="32" fillId="37" borderId="16" xfId="0" applyFont="1" applyFill="1" applyBorder="1" applyAlignment="1" applyProtection="1">
      <alignment horizontal="center" vertical="center" wrapText="1"/>
      <protection locked="0"/>
    </xf>
    <xf numFmtId="181" fontId="27" fillId="37" borderId="20" xfId="42" applyNumberFormat="1" applyFont="1" applyFill="1" applyBorder="1" applyAlignment="1" applyProtection="1">
      <alignment horizontal="right"/>
      <protection locked="0"/>
    </xf>
    <xf numFmtId="43" fontId="27" fillId="37" borderId="20" xfId="42" applyFont="1" applyFill="1" applyBorder="1" applyAlignment="1" applyProtection="1">
      <alignment horizontal="left" indent="11"/>
      <protection locked="0"/>
    </xf>
    <xf numFmtId="167" fontId="30" fillId="33" borderId="20" xfId="0" applyNumberFormat="1" applyFont="1" applyFill="1" applyBorder="1" applyAlignment="1" applyProtection="1">
      <alignment horizontal="center"/>
      <protection locked="0"/>
    </xf>
    <xf numFmtId="179" fontId="27" fillId="37" borderId="22" xfId="0" applyNumberFormat="1" applyFont="1" applyFill="1" applyBorder="1" applyAlignment="1" applyProtection="1">
      <alignment horizontal="center"/>
      <protection locked="0"/>
    </xf>
    <xf numFmtId="181" fontId="27" fillId="37" borderId="0" xfId="42" applyNumberFormat="1" applyFont="1" applyFill="1" applyBorder="1" applyAlignment="1" applyProtection="1">
      <alignment horizontal="right"/>
      <protection locked="0"/>
    </xf>
    <xf numFmtId="43" fontId="27" fillId="37" borderId="0" xfId="42" applyFont="1" applyFill="1" applyBorder="1" applyAlignment="1" applyProtection="1">
      <alignment horizontal="left" indent="11"/>
      <protection locked="0"/>
    </xf>
    <xf numFmtId="167" fontId="30" fillId="33" borderId="0" xfId="0" applyNumberFormat="1" applyFont="1" applyFill="1" applyBorder="1" applyAlignment="1" applyProtection="1">
      <alignment horizontal="center"/>
      <protection locked="0"/>
    </xf>
    <xf numFmtId="179" fontId="27" fillId="37" borderId="19" xfId="0" applyNumberFormat="1" applyFont="1" applyFill="1" applyBorder="1" applyAlignment="1" applyProtection="1">
      <alignment horizontal="center"/>
      <protection locked="0"/>
    </xf>
    <xf numFmtId="167" fontId="27" fillId="37" borderId="15" xfId="0" applyNumberFormat="1" applyFont="1" applyFill="1" applyBorder="1" applyAlignment="1" applyProtection="1">
      <alignment horizontal="right"/>
      <protection locked="0"/>
    </xf>
    <xf numFmtId="43" fontId="32" fillId="37" borderId="23" xfId="42" applyFont="1" applyFill="1" applyBorder="1" applyAlignment="1" applyProtection="1">
      <alignment horizontal="left" indent="11"/>
      <protection locked="0"/>
    </xf>
    <xf numFmtId="167" fontId="32" fillId="0" borderId="23" xfId="0" applyNumberFormat="1" applyFont="1" applyBorder="1" applyAlignment="1" applyProtection="1">
      <alignment horizontal="center"/>
      <protection locked="0"/>
    </xf>
    <xf numFmtId="167" fontId="32" fillId="37" borderId="24" xfId="0" applyNumberFormat="1" applyFont="1" applyFill="1" applyBorder="1" applyAlignment="1" applyProtection="1">
      <alignment horizontal="center"/>
      <protection locked="0"/>
    </xf>
    <xf numFmtId="1" fontId="25" fillId="38" borderId="25" xfId="42" applyNumberFormat="1" applyFont="1" applyFill="1" applyBorder="1" applyAlignment="1" applyProtection="1">
      <alignment horizontal="center"/>
      <protection/>
    </xf>
    <xf numFmtId="43" fontId="25" fillId="38" borderId="20" xfId="42" applyFont="1" applyFill="1" applyBorder="1" applyAlignment="1" applyProtection="1">
      <alignment horizontal="left"/>
      <protection/>
    </xf>
    <xf numFmtId="164" fontId="25" fillId="38" borderId="20" xfId="42" applyNumberFormat="1" applyFont="1" applyFill="1" applyBorder="1" applyAlignment="1" applyProtection="1">
      <alignment horizontal="center"/>
      <protection/>
    </xf>
    <xf numFmtId="1" fontId="25" fillId="38" borderId="26" xfId="42" applyNumberFormat="1" applyFont="1" applyFill="1" applyBorder="1" applyAlignment="1" applyProtection="1">
      <alignment horizontal="center"/>
      <protection/>
    </xf>
    <xf numFmtId="43" fontId="25" fillId="38" borderId="15" xfId="42" applyFont="1" applyFill="1" applyBorder="1" applyAlignment="1" applyProtection="1">
      <alignment horizontal="left"/>
      <protection/>
    </xf>
    <xf numFmtId="164" fontId="25" fillId="38" borderId="15" xfId="42" applyNumberFormat="1" applyFont="1" applyFill="1" applyBorder="1" applyAlignment="1" applyProtection="1">
      <alignment horizontal="center"/>
      <protection/>
    </xf>
    <xf numFmtId="167" fontId="25" fillId="38" borderId="20" xfId="0" applyNumberFormat="1" applyFont="1" applyFill="1" applyBorder="1" applyAlignment="1" applyProtection="1">
      <alignment horizontal="center" vertical="center"/>
      <protection locked="0"/>
    </xf>
    <xf numFmtId="167" fontId="25" fillId="38" borderId="22" xfId="0" applyNumberFormat="1" applyFont="1" applyFill="1" applyBorder="1" applyAlignment="1" applyProtection="1">
      <alignment horizontal="center" vertical="center"/>
      <protection locked="0"/>
    </xf>
    <xf numFmtId="1" fontId="25" fillId="38" borderId="25" xfId="42" applyNumberFormat="1" applyFont="1" applyFill="1" applyBorder="1" applyAlignment="1" applyProtection="1">
      <alignment horizontal="center" vertical="center"/>
      <protection locked="0"/>
    </xf>
    <xf numFmtId="0" fontId="25" fillId="38" borderId="20" xfId="0" applyFont="1" applyFill="1" applyBorder="1" applyAlignment="1" applyProtection="1">
      <alignment horizontal="left" vertical="center"/>
      <protection locked="0"/>
    </xf>
    <xf numFmtId="1" fontId="25" fillId="38" borderId="20" xfId="42" applyNumberFormat="1" applyFont="1" applyFill="1" applyBorder="1" applyAlignment="1" applyProtection="1">
      <alignment horizontal="center"/>
      <protection/>
    </xf>
    <xf numFmtId="0" fontId="25" fillId="38" borderId="20" xfId="0" applyFont="1" applyFill="1" applyBorder="1" applyAlignment="1" applyProtection="1">
      <alignment horizontal="center"/>
      <protection/>
    </xf>
    <xf numFmtId="167" fontId="25" fillId="38" borderId="20" xfId="0" applyNumberFormat="1" applyFont="1" applyFill="1" applyBorder="1" applyAlignment="1" applyProtection="1">
      <alignment horizontal="center"/>
      <protection/>
    </xf>
    <xf numFmtId="1" fontId="25" fillId="38" borderId="25" xfId="0" applyNumberFormat="1" applyFont="1" applyFill="1" applyBorder="1" applyAlignment="1" applyProtection="1">
      <alignment horizontal="center"/>
      <protection locked="0"/>
    </xf>
    <xf numFmtId="1" fontId="25" fillId="38" borderId="20" xfId="0" applyNumberFormat="1" applyFont="1" applyFill="1" applyBorder="1" applyAlignment="1" applyProtection="1">
      <alignment horizontal="center"/>
      <protection locked="0"/>
    </xf>
    <xf numFmtId="0" fontId="6" fillId="37" borderId="20" xfId="0" applyFont="1" applyFill="1" applyBorder="1" applyAlignment="1" applyProtection="1">
      <alignment/>
      <protection locked="0"/>
    </xf>
    <xf numFmtId="0" fontId="27" fillId="37" borderId="20" xfId="0" applyFont="1" applyFill="1" applyBorder="1" applyAlignment="1" applyProtection="1">
      <alignment horizontal="center"/>
      <protection locked="0"/>
    </xf>
    <xf numFmtId="0" fontId="27" fillId="37" borderId="22" xfId="0" applyFont="1" applyFill="1" applyBorder="1" applyAlignment="1" applyProtection="1">
      <alignment horizontal="center"/>
      <protection locked="0"/>
    </xf>
    <xf numFmtId="1" fontId="25" fillId="38" borderId="26" xfId="0" applyNumberFormat="1" applyFont="1" applyFill="1" applyBorder="1" applyAlignment="1" applyProtection="1">
      <alignment horizontal="center"/>
      <protection locked="0"/>
    </xf>
    <xf numFmtId="1" fontId="25" fillId="38" borderId="15" xfId="0" applyNumberFormat="1" applyFont="1" applyFill="1" applyBorder="1" applyAlignment="1" applyProtection="1">
      <alignment horizontal="center"/>
      <protection locked="0"/>
    </xf>
    <xf numFmtId="0" fontId="6" fillId="37" borderId="15" xfId="0" applyFont="1" applyFill="1" applyBorder="1" applyAlignment="1" applyProtection="1">
      <alignment/>
      <protection locked="0"/>
    </xf>
    <xf numFmtId="0" fontId="27" fillId="37" borderId="15" xfId="0" applyFont="1" applyFill="1" applyBorder="1" applyAlignment="1" applyProtection="1">
      <alignment horizontal="center"/>
      <protection locked="0"/>
    </xf>
    <xf numFmtId="0" fontId="27" fillId="37" borderId="21" xfId="0" applyFont="1" applyFill="1" applyBorder="1" applyAlignment="1" applyProtection="1">
      <alignment horizontal="center"/>
      <protection locked="0"/>
    </xf>
    <xf numFmtId="1" fontId="25" fillId="38" borderId="27" xfId="0" applyNumberFormat="1" applyFont="1" applyFill="1" applyBorder="1" applyAlignment="1" applyProtection="1">
      <alignment horizontal="center" wrapText="1"/>
      <protection locked="0"/>
    </xf>
    <xf numFmtId="0" fontId="34" fillId="37" borderId="0" xfId="0" applyFont="1" applyFill="1" applyBorder="1" applyAlignment="1">
      <alignment horizontal="left" vertical="center"/>
    </xf>
    <xf numFmtId="0" fontId="35" fillId="37" borderId="0" xfId="0" applyFont="1" applyFill="1" applyBorder="1" applyAlignment="1">
      <alignment vertical="center" wrapText="1"/>
    </xf>
    <xf numFmtId="0" fontId="36" fillId="37" borderId="0" xfId="0" applyFont="1" applyFill="1" applyBorder="1" applyAlignment="1">
      <alignment vertical="center" wrapText="1"/>
    </xf>
    <xf numFmtId="0" fontId="63" fillId="37" borderId="0" xfId="0" applyFont="1" applyFill="1" applyBorder="1" applyAlignment="1">
      <alignment horizontal="center" vertical="center"/>
    </xf>
    <xf numFmtId="0" fontId="34" fillId="37" borderId="0" xfId="0" applyFont="1" applyFill="1" applyBorder="1" applyAlignment="1">
      <alignment horizontal="center" vertical="center"/>
    </xf>
    <xf numFmtId="43" fontId="34" fillId="37" borderId="0" xfId="42" applyFont="1" applyFill="1" applyBorder="1" applyAlignment="1" applyProtection="1">
      <alignment horizontal="center" vertical="center"/>
      <protection/>
    </xf>
    <xf numFmtId="164" fontId="27" fillId="36" borderId="17" xfId="42" applyNumberFormat="1" applyFont="1" applyFill="1" applyBorder="1" applyAlignment="1" applyProtection="1">
      <alignment horizontal="center"/>
      <protection/>
    </xf>
    <xf numFmtId="3" fontId="27" fillId="36" borderId="16" xfId="0" applyNumberFormat="1" applyFont="1" applyFill="1" applyBorder="1" applyAlignment="1" applyProtection="1">
      <alignment horizontal="center"/>
      <protection/>
    </xf>
    <xf numFmtId="1" fontId="33" fillId="37" borderId="12" xfId="0" applyNumberFormat="1" applyFont="1" applyFill="1" applyBorder="1" applyAlignment="1" applyProtection="1">
      <alignment horizontal="center"/>
      <protection/>
    </xf>
    <xf numFmtId="1" fontId="33" fillId="37" borderId="0" xfId="0" applyNumberFormat="1" applyFont="1" applyFill="1" applyBorder="1" applyAlignment="1" applyProtection="1">
      <alignment horizontal="center"/>
      <protection/>
    </xf>
    <xf numFmtId="0" fontId="33" fillId="37" borderId="0" xfId="0" applyFont="1" applyFill="1" applyBorder="1" applyAlignment="1" applyProtection="1">
      <alignment horizontal="center"/>
      <protection/>
    </xf>
    <xf numFmtId="167" fontId="6" fillId="37" borderId="0" xfId="0" applyNumberFormat="1" applyFont="1" applyFill="1" applyBorder="1" applyAlignment="1" applyProtection="1">
      <alignment horizontal="center"/>
      <protection/>
    </xf>
    <xf numFmtId="167" fontId="6" fillId="37" borderId="19" xfId="0" applyNumberFormat="1" applyFont="1" applyFill="1" applyBorder="1" applyAlignment="1" applyProtection="1">
      <alignment horizontal="center"/>
      <protection/>
    </xf>
    <xf numFmtId="1" fontId="33" fillId="37" borderId="26" xfId="0" applyNumberFormat="1" applyFont="1" applyFill="1" applyBorder="1" applyAlignment="1" applyProtection="1">
      <alignment horizontal="center"/>
      <protection/>
    </xf>
    <xf numFmtId="1" fontId="33" fillId="37" borderId="15" xfId="0" applyNumberFormat="1" applyFont="1" applyFill="1" applyBorder="1" applyAlignment="1" applyProtection="1">
      <alignment horizontal="center"/>
      <protection/>
    </xf>
    <xf numFmtId="0" fontId="33" fillId="37" borderId="15" xfId="0" applyFont="1" applyFill="1" applyBorder="1" applyAlignment="1" applyProtection="1">
      <alignment horizontal="center"/>
      <protection/>
    </xf>
    <xf numFmtId="167" fontId="6" fillId="37" borderId="15" xfId="0" applyNumberFormat="1" applyFont="1" applyFill="1" applyBorder="1" applyAlignment="1" applyProtection="1">
      <alignment horizontal="center"/>
      <protection/>
    </xf>
    <xf numFmtId="167" fontId="6" fillId="37" borderId="21" xfId="0" applyNumberFormat="1" applyFont="1" applyFill="1" applyBorder="1" applyAlignment="1" applyProtection="1">
      <alignment horizontal="center"/>
      <protection/>
    </xf>
    <xf numFmtId="0" fontId="57" fillId="37" borderId="0" xfId="0" applyFont="1" applyFill="1" applyAlignment="1">
      <alignment horizontal="left" vertical="center"/>
    </xf>
    <xf numFmtId="167" fontId="27" fillId="40" borderId="25" xfId="42" applyNumberFormat="1" applyFont="1" applyFill="1" applyBorder="1" applyAlignment="1" applyProtection="1">
      <alignment horizontal="right"/>
      <protection locked="0"/>
    </xf>
    <xf numFmtId="167" fontId="27" fillId="40" borderId="12" xfId="42" applyNumberFormat="1" applyFont="1" applyFill="1" applyBorder="1" applyAlignment="1" applyProtection="1">
      <alignment horizontal="right"/>
      <protection locked="0"/>
    </xf>
    <xf numFmtId="167" fontId="27" fillId="40" borderId="26" xfId="42" applyNumberFormat="1" applyFont="1" applyFill="1" applyBorder="1" applyAlignment="1" applyProtection="1">
      <alignment horizontal="right"/>
      <protection locked="0"/>
    </xf>
    <xf numFmtId="43" fontId="121" fillId="33" borderId="18" xfId="42" applyFont="1" applyFill="1" applyBorder="1" applyAlignment="1" applyProtection="1">
      <alignment horizontal="center" vertical="center"/>
      <protection/>
    </xf>
    <xf numFmtId="43" fontId="25" fillId="38" borderId="18" xfId="42" applyFont="1" applyFill="1" applyBorder="1" applyAlignment="1" applyProtection="1">
      <alignment horizontal="center"/>
      <protection/>
    </xf>
    <xf numFmtId="43" fontId="25" fillId="38" borderId="16" xfId="42" applyFont="1" applyFill="1" applyBorder="1" applyAlignment="1" applyProtection="1">
      <alignment horizontal="center"/>
      <protection/>
    </xf>
    <xf numFmtId="3" fontId="119" fillId="38" borderId="28" xfId="0" applyNumberFormat="1" applyFont="1" applyFill="1" applyBorder="1" applyAlignment="1" applyProtection="1">
      <alignment horizontal="center" vertical="center"/>
      <protection/>
    </xf>
    <xf numFmtId="3" fontId="119" fillId="38" borderId="29" xfId="0" applyNumberFormat="1" applyFont="1" applyFill="1" applyBorder="1" applyAlignment="1" applyProtection="1">
      <alignment horizontal="center" vertical="center"/>
      <protection/>
    </xf>
    <xf numFmtId="3" fontId="119" fillId="38" borderId="22" xfId="0" applyNumberFormat="1" applyFont="1" applyFill="1" applyBorder="1" applyAlignment="1" applyProtection="1">
      <alignment horizontal="center" vertical="center" wrapText="1"/>
      <protection/>
    </xf>
    <xf numFmtId="3" fontId="119" fillId="38" borderId="21" xfId="0" applyNumberFormat="1" applyFont="1" applyFill="1" applyBorder="1" applyAlignment="1" applyProtection="1">
      <alignment horizontal="center" vertical="center" wrapText="1"/>
      <protection/>
    </xf>
    <xf numFmtId="49" fontId="38" fillId="33" borderId="0" xfId="42" applyNumberFormat="1" applyFont="1" applyFill="1" applyBorder="1" applyAlignment="1" applyProtection="1">
      <alignment horizontal="center"/>
      <protection locked="0"/>
    </xf>
    <xf numFmtId="49" fontId="38" fillId="33" borderId="19" xfId="42" applyNumberFormat="1" applyFont="1" applyFill="1" applyBorder="1" applyAlignment="1" applyProtection="1">
      <alignment horizontal="center"/>
      <protection locked="0"/>
    </xf>
    <xf numFmtId="49" fontId="39" fillId="33" borderId="0" xfId="53" applyNumberFormat="1" applyFont="1" applyFill="1" applyBorder="1" applyAlignment="1" applyProtection="1">
      <alignment horizontal="center"/>
      <protection locked="0"/>
    </xf>
    <xf numFmtId="49" fontId="39" fillId="33" borderId="19" xfId="53" applyNumberFormat="1" applyFont="1" applyFill="1" applyBorder="1" applyAlignment="1" applyProtection="1">
      <alignment horizontal="center"/>
      <protection locked="0"/>
    </xf>
    <xf numFmtId="176" fontId="37" fillId="33" borderId="0" xfId="53" applyNumberFormat="1" applyFont="1" applyFill="1" applyBorder="1" applyAlignment="1" applyProtection="1">
      <alignment horizontal="center"/>
      <protection locked="0"/>
    </xf>
    <xf numFmtId="176" fontId="38" fillId="33" borderId="0" xfId="0" applyNumberFormat="1" applyFont="1" applyFill="1" applyBorder="1" applyAlignment="1" applyProtection="1">
      <alignment horizontal="center"/>
      <protection locked="0"/>
    </xf>
    <xf numFmtId="176" fontId="38" fillId="33" borderId="19" xfId="0" applyNumberFormat="1" applyFont="1" applyFill="1" applyBorder="1" applyAlignment="1" applyProtection="1">
      <alignment horizontal="center"/>
      <protection locked="0"/>
    </xf>
    <xf numFmtId="49" fontId="38" fillId="33" borderId="0" xfId="0" applyNumberFormat="1" applyFont="1" applyFill="1" applyBorder="1" applyAlignment="1" applyProtection="1">
      <alignment horizontal="center"/>
      <protection locked="0"/>
    </xf>
    <xf numFmtId="49" fontId="38" fillId="33" borderId="19" xfId="0" applyNumberFormat="1" applyFont="1" applyFill="1" applyBorder="1" applyAlignment="1" applyProtection="1">
      <alignment horizontal="center"/>
      <protection locked="0"/>
    </xf>
    <xf numFmtId="43" fontId="38" fillId="33" borderId="0" xfId="42" applyFont="1" applyFill="1" applyBorder="1" applyAlignment="1" applyProtection="1">
      <alignment horizontal="center"/>
      <protection locked="0"/>
    </xf>
    <xf numFmtId="43" fontId="38" fillId="33" borderId="19" xfId="42" applyFont="1" applyFill="1" applyBorder="1" applyAlignment="1" applyProtection="1">
      <alignment horizontal="center"/>
      <protection locked="0"/>
    </xf>
    <xf numFmtId="0" fontId="23" fillId="0" borderId="0" xfId="0" applyFont="1" applyAlignment="1" applyProtection="1">
      <alignment wrapText="1"/>
      <protection hidden="1"/>
    </xf>
    <xf numFmtId="0" fontId="0" fillId="0" borderId="0" xfId="0" applyAlignment="1">
      <alignment/>
    </xf>
    <xf numFmtId="0" fontId="23" fillId="0" borderId="30" xfId="0" applyFont="1" applyBorder="1" applyAlignment="1" applyProtection="1">
      <alignment horizontal="left" vertical="top" wrapText="1"/>
      <protection hidden="1"/>
    </xf>
    <xf numFmtId="0" fontId="0" fillId="0" borderId="3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troduction!A1" /><Relationship Id="rId2" Type="http://schemas.openxmlformats.org/officeDocument/2006/relationships/hyperlink" Target="#'Cost of Attendance'!A1" /><Relationship Id="rId3" Type="http://schemas.openxmlformats.org/officeDocument/2006/relationships/hyperlink" Target="#'Basis of Costs'!A1" /><Relationship Id="rId4" Type="http://schemas.openxmlformats.org/officeDocument/2006/relationships/image" Target="../media/image1.jpeg" /><Relationship Id="rId5" Type="http://schemas.openxmlformats.org/officeDocument/2006/relationships/hyperlink" Target="http://www.lse.ac.uk/intranet/LSEServices/financeDivision/feesAndStudentFinance/feesAndLoans/LoansUSA.aspx" TargetMode="External" /><Relationship Id="rId6" Type="http://schemas.openxmlformats.org/officeDocument/2006/relationships/hyperlink" Target="http://www.lse.ac.uk/intranet/LSEServices/financeDivision/feesAndStudentFinance/feesAndLoans/LoansUSA.aspx"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5</xdr:row>
      <xdr:rowOff>142875</xdr:rowOff>
    </xdr:from>
    <xdr:to>
      <xdr:col>5</xdr:col>
      <xdr:colOff>533400</xdr:colOff>
      <xdr:row>13</xdr:row>
      <xdr:rowOff>9525</xdr:rowOff>
    </xdr:to>
    <xdr:sp>
      <xdr:nvSpPr>
        <xdr:cNvPr id="1" name="TextBox 1">
          <a:hlinkClick r:id="rId1"/>
        </xdr:cNvPr>
        <xdr:cNvSpPr txBox="1">
          <a:spLocks noChangeArrowheads="1"/>
        </xdr:cNvSpPr>
      </xdr:nvSpPr>
      <xdr:spPr>
        <a:xfrm>
          <a:off x="1162050" y="952500"/>
          <a:ext cx="2419350"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Step</a:t>
          </a:r>
          <a:r>
            <a:rPr lang="en-US" cap="none" sz="1600" b="1" i="0" u="none" baseline="0">
              <a:solidFill>
                <a:srgbClr val="000000"/>
              </a:solidFill>
              <a:latin typeface="Calibri"/>
              <a:ea typeface="Calibri"/>
              <a:cs typeface="Calibri"/>
            </a:rPr>
            <a:t> 1: </a:t>
          </a:r>
          <a:r>
            <a:rPr lang="en-US" cap="none" sz="1600" b="1" i="0" u="none" baseline="0">
              <a:solidFill>
                <a:srgbClr val="000000"/>
              </a:solidFill>
              <a:latin typeface="Calibri"/>
              <a:ea typeface="Calibri"/>
              <a:cs typeface="Calibri"/>
            </a:rPr>
            <a:t>Introduction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a:t>
          </a:r>
          <a:r>
            <a:rPr lang="en-US" cap="none" sz="1100" b="1" i="0" u="none" baseline="0">
              <a:solidFill>
                <a:srgbClr val="000000"/>
              </a:solidFill>
              <a:latin typeface="Calibri"/>
              <a:ea typeface="Calibri"/>
              <a:cs typeface="Calibri"/>
            </a:rPr>
            <a:t> only - please read</a:t>
          </a:r>
        </a:p>
      </xdr:txBody>
    </xdr:sp>
    <xdr:clientData/>
  </xdr:twoCellAnchor>
  <xdr:twoCellAnchor>
    <xdr:from>
      <xdr:col>6</xdr:col>
      <xdr:colOff>123825</xdr:colOff>
      <xdr:row>6</xdr:row>
      <xdr:rowOff>0</xdr:rowOff>
    </xdr:from>
    <xdr:to>
      <xdr:col>10</xdr:col>
      <xdr:colOff>114300</xdr:colOff>
      <xdr:row>13</xdr:row>
      <xdr:rowOff>28575</xdr:rowOff>
    </xdr:to>
    <xdr:sp>
      <xdr:nvSpPr>
        <xdr:cNvPr id="2" name="TextBox 2">
          <a:hlinkClick r:id="rId2"/>
        </xdr:cNvPr>
        <xdr:cNvSpPr txBox="1">
          <a:spLocks noChangeArrowheads="1"/>
        </xdr:cNvSpPr>
      </xdr:nvSpPr>
      <xdr:spPr>
        <a:xfrm>
          <a:off x="3781425" y="971550"/>
          <a:ext cx="2428875"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Step 3: Cost of attendance spreadsheet</a:t>
          </a:r>
        </a:p>
      </xdr:txBody>
    </xdr:sp>
    <xdr:clientData/>
  </xdr:twoCellAnchor>
  <xdr:twoCellAnchor>
    <xdr:from>
      <xdr:col>1</xdr:col>
      <xdr:colOff>561975</xdr:colOff>
      <xdr:row>13</xdr:row>
      <xdr:rowOff>104775</xdr:rowOff>
    </xdr:from>
    <xdr:to>
      <xdr:col>5</xdr:col>
      <xdr:colOff>552450</xdr:colOff>
      <xdr:row>20</xdr:row>
      <xdr:rowOff>133350</xdr:rowOff>
    </xdr:to>
    <xdr:sp>
      <xdr:nvSpPr>
        <xdr:cNvPr id="3" name="TextBox 4">
          <a:hlinkClick r:id="rId3"/>
        </xdr:cNvPr>
        <xdr:cNvSpPr txBox="1">
          <a:spLocks noChangeArrowheads="1"/>
        </xdr:cNvSpPr>
      </xdr:nvSpPr>
      <xdr:spPr>
        <a:xfrm>
          <a:off x="1171575" y="2209800"/>
          <a:ext cx="2428875" cy="11620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Step 2: Basis</a:t>
          </a:r>
          <a:r>
            <a:rPr lang="en-US" cap="none" sz="1600" b="1" i="0" u="none" baseline="0">
              <a:solidFill>
                <a:srgbClr val="000000"/>
              </a:solidFill>
              <a:latin typeface="Calibri"/>
              <a:ea typeface="Calibri"/>
              <a:cs typeface="Calibri"/>
            </a:rPr>
            <a:t> of costs</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a:t>
          </a:r>
          <a:r>
            <a:rPr lang="en-US" cap="none" sz="1100" b="1" i="0" u="none" baseline="0">
              <a:solidFill>
                <a:srgbClr val="000000"/>
              </a:solidFill>
              <a:latin typeface="Calibri"/>
              <a:ea typeface="Calibri"/>
              <a:cs typeface="Calibri"/>
            </a:rPr>
            <a:t> only - please read</a:t>
          </a:r>
          <a:r>
            <a:rPr lang="en-US" cap="none" sz="1400" b="0" i="0" u="none" baseline="0">
              <a:solidFill>
                <a:srgbClr val="000000"/>
              </a:solidFill>
              <a:latin typeface="Calibri"/>
              <a:ea typeface="Calibri"/>
              <a:cs typeface="Calibri"/>
            </a:rPr>
            <a:t>
</a:t>
          </a:r>
        </a:p>
      </xdr:txBody>
    </xdr:sp>
    <xdr:clientData/>
  </xdr:twoCellAnchor>
  <xdr:twoCellAnchor editAs="oneCell">
    <xdr:from>
      <xdr:col>11</xdr:col>
      <xdr:colOff>219075</xdr:colOff>
      <xdr:row>1</xdr:row>
      <xdr:rowOff>95250</xdr:rowOff>
    </xdr:from>
    <xdr:to>
      <xdr:col>18</xdr:col>
      <xdr:colOff>447675</xdr:colOff>
      <xdr:row>8</xdr:row>
      <xdr:rowOff>9525</xdr:rowOff>
    </xdr:to>
    <xdr:pic>
      <xdr:nvPicPr>
        <xdr:cNvPr id="4" name="Picture 5">
          <a:hlinkClick r:id="rId6"/>
        </xdr:cNvPr>
        <xdr:cNvPicPr preferRelativeResize="1">
          <a:picLocks noChangeAspect="1"/>
        </xdr:cNvPicPr>
      </xdr:nvPicPr>
      <xdr:blipFill>
        <a:blip r:embed="rId4"/>
        <a:stretch>
          <a:fillRect/>
        </a:stretch>
      </xdr:blipFill>
      <xdr:spPr>
        <a:xfrm>
          <a:off x="6924675" y="257175"/>
          <a:ext cx="4495800" cy="1047750"/>
        </a:xfrm>
        <a:prstGeom prst="rect">
          <a:avLst/>
        </a:prstGeom>
        <a:noFill/>
        <a:ln w="9525" cmpd="sng">
          <a:noFill/>
        </a:ln>
      </xdr:spPr>
    </xdr:pic>
    <xdr:clientData/>
  </xdr:twoCellAnchor>
  <xdr:twoCellAnchor>
    <xdr:from>
      <xdr:col>1</xdr:col>
      <xdr:colOff>552450</xdr:colOff>
      <xdr:row>23</xdr:row>
      <xdr:rowOff>66675</xdr:rowOff>
    </xdr:from>
    <xdr:to>
      <xdr:col>5</xdr:col>
      <xdr:colOff>342900</xdr:colOff>
      <xdr:row>25</xdr:row>
      <xdr:rowOff>76200</xdr:rowOff>
    </xdr:to>
    <xdr:sp>
      <xdr:nvSpPr>
        <xdr:cNvPr id="5" name="TextBox 11"/>
        <xdr:cNvSpPr txBox="1">
          <a:spLocks noChangeArrowheads="1"/>
        </xdr:cNvSpPr>
      </xdr:nvSpPr>
      <xdr:spPr>
        <a:xfrm>
          <a:off x="1162050" y="3790950"/>
          <a:ext cx="2228850" cy="333375"/>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rPr>
            <a:t>Useful links and information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7715250</xdr:colOff>
      <xdr:row>0</xdr:row>
      <xdr:rowOff>76200</xdr:rowOff>
    </xdr:from>
    <xdr:to>
      <xdr:col>4</xdr:col>
      <xdr:colOff>190500</xdr:colOff>
      <xdr:row>2</xdr:row>
      <xdr:rowOff>180975</xdr:rowOff>
    </xdr:to>
    <xdr:pic>
      <xdr:nvPicPr>
        <xdr:cNvPr id="1" name="Picture 1"/>
        <xdr:cNvPicPr preferRelativeResize="1">
          <a:picLocks noChangeAspect="1"/>
        </xdr:cNvPicPr>
      </xdr:nvPicPr>
      <xdr:blipFill>
        <a:blip r:embed="rId1"/>
        <a:stretch>
          <a:fillRect/>
        </a:stretch>
      </xdr:blipFill>
      <xdr:spPr>
        <a:xfrm>
          <a:off x="7715250" y="76200"/>
          <a:ext cx="2495550" cy="581025"/>
        </a:xfrm>
        <a:prstGeom prst="rect">
          <a:avLst/>
        </a:prstGeom>
        <a:noFill/>
        <a:ln w="9525" cmpd="sng">
          <a:noFill/>
        </a:ln>
      </xdr:spPr>
    </xdr:pic>
    <xdr:clientData/>
  </xdr:twoCellAnchor>
  <xdr:twoCellAnchor>
    <xdr:from>
      <xdr:col>0</xdr:col>
      <xdr:colOff>7800975</xdr:colOff>
      <xdr:row>4</xdr:row>
      <xdr:rowOff>133350</xdr:rowOff>
    </xdr:from>
    <xdr:to>
      <xdr:col>4</xdr:col>
      <xdr:colOff>552450</xdr:colOff>
      <xdr:row>10</xdr:row>
      <xdr:rowOff>104775</xdr:rowOff>
    </xdr:to>
    <xdr:sp>
      <xdr:nvSpPr>
        <xdr:cNvPr id="2" name="TextBox 2">
          <a:hlinkClick r:id="rId2"/>
        </xdr:cNvPr>
        <xdr:cNvSpPr txBox="1">
          <a:spLocks noChangeArrowheads="1"/>
        </xdr:cNvSpPr>
      </xdr:nvSpPr>
      <xdr:spPr>
        <a:xfrm>
          <a:off x="7800975" y="971550"/>
          <a:ext cx="2771775" cy="981075"/>
        </a:xfrm>
        <a:prstGeom prst="rect">
          <a:avLst/>
        </a:prstGeom>
        <a:solidFill>
          <a:srgbClr val="95B3D7"/>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BACK TO 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7</xdr:col>
      <xdr:colOff>333375</xdr:colOff>
      <xdr:row>4</xdr:row>
      <xdr:rowOff>171450</xdr:rowOff>
    </xdr:to>
    <xdr:sp>
      <xdr:nvSpPr>
        <xdr:cNvPr id="1" name="TextBox 6">
          <a:hlinkClick r:id="rId1"/>
        </xdr:cNvPr>
        <xdr:cNvSpPr txBox="1">
          <a:spLocks noChangeArrowheads="1"/>
        </xdr:cNvSpPr>
      </xdr:nvSpPr>
      <xdr:spPr>
        <a:xfrm>
          <a:off x="8896350" y="476250"/>
          <a:ext cx="2771775" cy="942975"/>
        </a:xfrm>
        <a:prstGeom prst="rect">
          <a:avLst/>
        </a:prstGeom>
        <a:solidFill>
          <a:srgbClr val="95B3D7"/>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BACK TO 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28575</xdr:rowOff>
    </xdr:from>
    <xdr:to>
      <xdr:col>2</xdr:col>
      <xdr:colOff>4324350</xdr:colOff>
      <xdr:row>47</xdr:row>
      <xdr:rowOff>66675</xdr:rowOff>
    </xdr:to>
    <xdr:sp>
      <xdr:nvSpPr>
        <xdr:cNvPr id="1" name="Text Box 1"/>
        <xdr:cNvSpPr txBox="1">
          <a:spLocks noChangeArrowheads="1"/>
        </xdr:cNvSpPr>
      </xdr:nvSpPr>
      <xdr:spPr>
        <a:xfrm>
          <a:off x="38100" y="8734425"/>
          <a:ext cx="7248525" cy="1400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sng" baseline="0">
              <a:solidFill>
                <a:srgbClr val="000000"/>
              </a:solidFill>
              <a:latin typeface="Arial"/>
              <a:ea typeface="Arial"/>
              <a:cs typeface="Arial"/>
            </a:rPr>
            <a:t>These are the maximum estimated figures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twoCellAnchor editAs="oneCell">
    <xdr:from>
      <xdr:col>0</xdr:col>
      <xdr:colOff>123825</xdr:colOff>
      <xdr:row>0</xdr:row>
      <xdr:rowOff>95250</xdr:rowOff>
    </xdr:from>
    <xdr:to>
      <xdr:col>2</xdr:col>
      <xdr:colOff>0</xdr:colOff>
      <xdr:row>3</xdr:row>
      <xdr:rowOff>38100</xdr:rowOff>
    </xdr:to>
    <xdr:pic>
      <xdr:nvPicPr>
        <xdr:cNvPr id="2" name="Picture 1"/>
        <xdr:cNvPicPr preferRelativeResize="1">
          <a:picLocks noChangeAspect="1"/>
        </xdr:cNvPicPr>
      </xdr:nvPicPr>
      <xdr:blipFill>
        <a:blip r:embed="rId1"/>
        <a:stretch>
          <a:fillRect/>
        </a:stretch>
      </xdr:blipFill>
      <xdr:spPr>
        <a:xfrm>
          <a:off x="123825" y="95250"/>
          <a:ext cx="28384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2447925</xdr:colOff>
      <xdr:row>38</xdr:row>
      <xdr:rowOff>133350</xdr:rowOff>
    </xdr:from>
    <xdr:to>
      <xdr:col>2</xdr:col>
      <xdr:colOff>38100</xdr:colOff>
      <xdr:row>48</xdr:row>
      <xdr:rowOff>114300</xdr:rowOff>
    </xdr:to>
    <xdr:pic>
      <xdr:nvPicPr>
        <xdr:cNvPr id="1" name="Picture 3"/>
        <xdr:cNvPicPr preferRelativeResize="1">
          <a:picLocks noChangeAspect="1"/>
        </xdr:cNvPicPr>
      </xdr:nvPicPr>
      <xdr:blipFill>
        <a:blip r:embed="rId1"/>
        <a:stretch>
          <a:fillRect/>
        </a:stretch>
      </xdr:blipFill>
      <xdr:spPr>
        <a:xfrm>
          <a:off x="4400550" y="9010650"/>
          <a:ext cx="1704975" cy="1981200"/>
        </a:xfrm>
        <a:prstGeom prst="rect">
          <a:avLst/>
        </a:prstGeom>
        <a:noFill/>
        <a:ln w="9525" cmpd="sng">
          <a:noFill/>
        </a:ln>
      </xdr:spPr>
    </xdr:pic>
    <xdr:clientData/>
  </xdr:twoCellAnchor>
  <xdr:twoCellAnchor editAs="oneCell">
    <xdr:from>
      <xdr:col>1</xdr:col>
      <xdr:colOff>1600200</xdr:colOff>
      <xdr:row>1</xdr:row>
      <xdr:rowOff>0</xdr:rowOff>
    </xdr:from>
    <xdr:to>
      <xdr:col>1</xdr:col>
      <xdr:colOff>3981450</xdr:colOff>
      <xdr:row>3</xdr:row>
      <xdr:rowOff>171450</xdr:rowOff>
    </xdr:to>
    <xdr:pic>
      <xdr:nvPicPr>
        <xdr:cNvPr id="2" name="Picture 2"/>
        <xdr:cNvPicPr preferRelativeResize="1">
          <a:picLocks noChangeAspect="1"/>
        </xdr:cNvPicPr>
      </xdr:nvPicPr>
      <xdr:blipFill>
        <a:blip r:embed="rId2"/>
        <a:stretch>
          <a:fillRect/>
        </a:stretch>
      </xdr:blipFill>
      <xdr:spPr>
        <a:xfrm>
          <a:off x="3552825" y="161925"/>
          <a:ext cx="2381250" cy="552450"/>
        </a:xfrm>
        <a:prstGeom prst="rect">
          <a:avLst/>
        </a:prstGeom>
        <a:noFill/>
        <a:ln w="9525" cmpd="sng">
          <a:noFill/>
        </a:ln>
      </xdr:spPr>
    </xdr:pic>
    <xdr:clientData/>
  </xdr:twoCellAnchor>
  <xdr:twoCellAnchor>
    <xdr:from>
      <xdr:col>1</xdr:col>
      <xdr:colOff>1600200</xdr:colOff>
      <xdr:row>4</xdr:row>
      <xdr:rowOff>47625</xdr:rowOff>
    </xdr:from>
    <xdr:to>
      <xdr:col>1</xdr:col>
      <xdr:colOff>3933825</xdr:colOff>
      <xdr:row>7</xdr:row>
      <xdr:rowOff>114300</xdr:rowOff>
    </xdr:to>
    <xdr:sp>
      <xdr:nvSpPr>
        <xdr:cNvPr id="3" name="TextBox 4"/>
        <xdr:cNvSpPr txBox="1">
          <a:spLocks noChangeArrowheads="1"/>
        </xdr:cNvSpPr>
      </xdr:nvSpPr>
      <xdr:spPr>
        <a:xfrm>
          <a:off x="3552825" y="781050"/>
          <a:ext cx="233362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Houghton Street
</a:t>
          </a:r>
          <a:r>
            <a:rPr lang="en-US" cap="none" sz="1100" b="0" i="0" u="none" baseline="0">
              <a:solidFill>
                <a:srgbClr val="000000"/>
              </a:solidFill>
              <a:latin typeface="Calibri"/>
              <a:ea typeface="Calibri"/>
              <a:cs typeface="Calibri"/>
            </a:rPr>
            <a:t>London
</a:t>
          </a:r>
          <a:r>
            <a:rPr lang="en-US" cap="none" sz="1100" b="0" i="0" u="none" baseline="0">
              <a:solidFill>
                <a:srgbClr val="000000"/>
              </a:solidFill>
              <a:latin typeface="Calibri"/>
              <a:ea typeface="Calibri"/>
              <a:cs typeface="Calibri"/>
            </a:rPr>
            <a:t>WC2A 2AE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2400300</xdr:colOff>
      <xdr:row>39</xdr:row>
      <xdr:rowOff>47625</xdr:rowOff>
    </xdr:from>
    <xdr:to>
      <xdr:col>1</xdr:col>
      <xdr:colOff>4105275</xdr:colOff>
      <xdr:row>49</xdr:row>
      <xdr:rowOff>0</xdr:rowOff>
    </xdr:to>
    <xdr:pic>
      <xdr:nvPicPr>
        <xdr:cNvPr id="1" name="Picture 3"/>
        <xdr:cNvPicPr preferRelativeResize="1">
          <a:picLocks noChangeAspect="1"/>
        </xdr:cNvPicPr>
      </xdr:nvPicPr>
      <xdr:blipFill>
        <a:blip r:embed="rId1"/>
        <a:stretch>
          <a:fillRect/>
        </a:stretch>
      </xdr:blipFill>
      <xdr:spPr>
        <a:xfrm>
          <a:off x="4352925" y="7696200"/>
          <a:ext cx="1704975" cy="1952625"/>
        </a:xfrm>
        <a:prstGeom prst="rect">
          <a:avLst/>
        </a:prstGeom>
        <a:noFill/>
        <a:ln w="9525" cmpd="sng">
          <a:noFill/>
        </a:ln>
      </xdr:spPr>
    </xdr:pic>
    <xdr:clientData/>
  </xdr:twoCellAnchor>
  <xdr:twoCellAnchor editAs="oneCell">
    <xdr:from>
      <xdr:col>1</xdr:col>
      <xdr:colOff>923925</xdr:colOff>
      <xdr:row>0</xdr:row>
      <xdr:rowOff>28575</xdr:rowOff>
    </xdr:from>
    <xdr:to>
      <xdr:col>1</xdr:col>
      <xdr:colOff>3314700</xdr:colOff>
      <xdr:row>2</xdr:row>
      <xdr:rowOff>171450</xdr:rowOff>
    </xdr:to>
    <xdr:pic>
      <xdr:nvPicPr>
        <xdr:cNvPr id="2" name="Picture 2"/>
        <xdr:cNvPicPr preferRelativeResize="1">
          <a:picLocks noChangeAspect="1"/>
        </xdr:cNvPicPr>
      </xdr:nvPicPr>
      <xdr:blipFill>
        <a:blip r:embed="rId2"/>
        <a:stretch>
          <a:fillRect/>
        </a:stretch>
      </xdr:blipFill>
      <xdr:spPr>
        <a:xfrm>
          <a:off x="2876550" y="28575"/>
          <a:ext cx="2390775" cy="542925"/>
        </a:xfrm>
        <a:prstGeom prst="rect">
          <a:avLst/>
        </a:prstGeom>
        <a:noFill/>
        <a:ln w="9525" cmpd="sng">
          <a:noFill/>
        </a:ln>
      </xdr:spPr>
    </xdr:pic>
    <xdr:clientData/>
  </xdr:twoCellAnchor>
  <xdr:twoCellAnchor>
    <xdr:from>
      <xdr:col>1</xdr:col>
      <xdr:colOff>923925</xdr:colOff>
      <xdr:row>3</xdr:row>
      <xdr:rowOff>9525</xdr:rowOff>
    </xdr:from>
    <xdr:to>
      <xdr:col>1</xdr:col>
      <xdr:colOff>3257550</xdr:colOff>
      <xdr:row>6</xdr:row>
      <xdr:rowOff>28575</xdr:rowOff>
    </xdr:to>
    <xdr:sp>
      <xdr:nvSpPr>
        <xdr:cNvPr id="3" name="TextBox 3"/>
        <xdr:cNvSpPr txBox="1">
          <a:spLocks noChangeArrowheads="1"/>
        </xdr:cNvSpPr>
      </xdr:nvSpPr>
      <xdr:spPr>
        <a:xfrm>
          <a:off x="2876550" y="609600"/>
          <a:ext cx="23336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Houghton Street
</a:t>
          </a:r>
          <a:r>
            <a:rPr lang="en-US" cap="none" sz="1100" b="0" i="0" u="none" baseline="0">
              <a:solidFill>
                <a:srgbClr val="000000"/>
              </a:solidFill>
              <a:latin typeface="Calibri"/>
              <a:ea typeface="Calibri"/>
              <a:cs typeface="Calibri"/>
            </a:rPr>
            <a:t>London
</a:t>
          </a:r>
          <a:r>
            <a:rPr lang="en-US" cap="none" sz="1100" b="0" i="0" u="none" baseline="0">
              <a:solidFill>
                <a:srgbClr val="000000"/>
              </a:solidFill>
              <a:latin typeface="Calibri"/>
              <a:ea typeface="Calibri"/>
              <a:cs typeface="Calibri"/>
            </a:rPr>
            <a:t>WC2A 2AE</a:t>
          </a:r>
        </a:p>
      </xdr:txBody>
    </xdr:sp>
    <xdr:clientData/>
  </xdr:twoCellAnchor>
</xdr:wsDr>
</file>

<file path=xl/tables/table1.xml><?xml version="1.0" encoding="utf-8"?>
<table xmlns="http://schemas.openxmlformats.org/spreadsheetml/2006/main" id="1" name="List1" displayName="List1" ref="G8:G10" comment="" totalsRowShown="0">
  <autoFilter ref="G8:G10"/>
  <tableColumns count="1">
    <tableColumn id="1" name="Depend"/>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4:C4"/>
  <sheetViews>
    <sheetView showGridLines="0" showRowColHeaders="0" zoomScalePageLayoutView="0" workbookViewId="0" topLeftCell="A1">
      <selection activeCell="L24" sqref="L24"/>
    </sheetView>
  </sheetViews>
  <sheetFormatPr defaultColWidth="9.140625" defaultRowHeight="12.75"/>
  <cols>
    <col min="1" max="4" width="9.140625" style="279" customWidth="1"/>
    <col min="5" max="16384" width="9.140625" style="279" customWidth="1"/>
  </cols>
  <sheetData>
    <row r="2" ht="12.75"/>
    <row r="3" ht="12.75"/>
    <row r="4" ht="12.75">
      <c r="C4" s="280"/>
    </row>
    <row r="5" ht="12.75"/>
    <row r="6" ht="12.75"/>
    <row r="7" ht="12.75"/>
    <row r="8" 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tabColor rgb="FF00B050"/>
    <pageSetUpPr fitToPage="1"/>
  </sheetPr>
  <dimension ref="A1:A31"/>
  <sheetViews>
    <sheetView showGridLines="0" showRowColHeaders="0" zoomScalePageLayoutView="0" workbookViewId="0" topLeftCell="A1">
      <selection activeCell="H26" sqref="H26"/>
    </sheetView>
  </sheetViews>
  <sheetFormatPr defaultColWidth="9.140625" defaultRowHeight="12.75"/>
  <cols>
    <col min="1" max="1" width="122.8515625" style="122" bestFit="1" customWidth="1"/>
    <col min="2" max="16384" width="9.140625" style="122" customWidth="1"/>
  </cols>
  <sheetData>
    <row r="1" s="120" customFormat="1" ht="18.75">
      <c r="A1" s="119" t="s">
        <v>136</v>
      </c>
    </row>
    <row r="2" s="120" customFormat="1" ht="18.75">
      <c r="A2" s="119"/>
    </row>
    <row r="3" ht="15.75">
      <c r="A3" s="121" t="s">
        <v>128</v>
      </c>
    </row>
    <row r="4" ht="12.75">
      <c r="A4" s="123" t="s">
        <v>118</v>
      </c>
    </row>
    <row r="5" ht="12.75">
      <c r="A5" s="123" t="s">
        <v>119</v>
      </c>
    </row>
    <row r="6" ht="12.75">
      <c r="A6" s="123" t="s">
        <v>122</v>
      </c>
    </row>
    <row r="8" ht="15.75">
      <c r="A8" s="124" t="s">
        <v>121</v>
      </c>
    </row>
    <row r="9" ht="12.75">
      <c r="A9" s="123" t="s">
        <v>120</v>
      </c>
    </row>
    <row r="10" ht="12.75">
      <c r="A10" s="123" t="s">
        <v>243</v>
      </c>
    </row>
    <row r="11" ht="12.75">
      <c r="A11" s="123" t="s">
        <v>360</v>
      </c>
    </row>
    <row r="12" ht="12.75">
      <c r="A12" s="123"/>
    </row>
    <row r="13" s="125" customFormat="1" ht="15.75">
      <c r="A13" s="121" t="s">
        <v>300</v>
      </c>
    </row>
    <row r="14" s="125" customFormat="1" ht="15.75">
      <c r="A14" s="126" t="s">
        <v>299</v>
      </c>
    </row>
    <row r="15" ht="12.75">
      <c r="A15" s="427" t="s">
        <v>153</v>
      </c>
    </row>
    <row r="16" ht="12.75">
      <c r="A16" s="123" t="s">
        <v>355</v>
      </c>
    </row>
    <row r="17" ht="12.75">
      <c r="A17" s="123" t="s">
        <v>356</v>
      </c>
    </row>
    <row r="18" ht="12.75">
      <c r="A18" s="123" t="s">
        <v>357</v>
      </c>
    </row>
    <row r="19" ht="12.75">
      <c r="A19" s="123" t="s">
        <v>358</v>
      </c>
    </row>
    <row r="20" ht="12.75">
      <c r="A20" s="123" t="s">
        <v>123</v>
      </c>
    </row>
    <row r="21" ht="12.75">
      <c r="A21" s="123" t="s">
        <v>124</v>
      </c>
    </row>
    <row r="22" ht="12.75">
      <c r="A22" s="123" t="s">
        <v>359</v>
      </c>
    </row>
    <row r="24" s="125" customFormat="1" ht="15.75">
      <c r="A24" s="121" t="s">
        <v>242</v>
      </c>
    </row>
    <row r="25" ht="12.75">
      <c r="A25" s="123" t="s">
        <v>244</v>
      </c>
    </row>
    <row r="26" ht="12.75">
      <c r="A26" s="123" t="s">
        <v>285</v>
      </c>
    </row>
    <row r="27" ht="12.75">
      <c r="A27" s="127"/>
    </row>
    <row r="28" ht="12.75">
      <c r="A28" s="128" t="s">
        <v>361</v>
      </c>
    </row>
    <row r="29" s="125" customFormat="1" ht="15.75">
      <c r="A29" s="129"/>
    </row>
    <row r="30" s="127" customFormat="1" ht="12.75">
      <c r="A30" s="130"/>
    </row>
    <row r="31" ht="15.75">
      <c r="A31" s="131"/>
    </row>
    <row r="32" s="127" customFormat="1" ht="12.75"/>
  </sheetData>
  <sheetProtection selectLockedCells="1" selectUnlockedCells="1"/>
  <printOptions/>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tabColor rgb="FF00B050"/>
  </sheetPr>
  <dimension ref="A1:B30"/>
  <sheetViews>
    <sheetView showGridLines="0" showRowColHeaders="0" zoomScalePageLayoutView="0" workbookViewId="0" topLeftCell="A1">
      <selection activeCell="F19" sqref="F19"/>
    </sheetView>
  </sheetViews>
  <sheetFormatPr defaultColWidth="9.140625" defaultRowHeight="12.75"/>
  <cols>
    <col min="1" max="1" width="24.140625" style="93" customWidth="1"/>
    <col min="2" max="2" width="100.140625" style="91" customWidth="1"/>
    <col min="3" max="16384" width="9.140625" style="92" customWidth="1"/>
  </cols>
  <sheetData>
    <row r="1" spans="1:2" s="90" customFormat="1" ht="18.75">
      <c r="A1" s="88" t="s">
        <v>144</v>
      </c>
      <c r="B1" s="89"/>
    </row>
    <row r="2" ht="18.75">
      <c r="A2" s="412"/>
    </row>
    <row r="3" spans="1:2" ht="48">
      <c r="A3" s="413" t="s">
        <v>137</v>
      </c>
      <c r="B3" s="410" t="s">
        <v>324</v>
      </c>
    </row>
    <row r="4" spans="1:2" ht="12.75">
      <c r="A4" s="413"/>
      <c r="B4" s="410"/>
    </row>
    <row r="5" spans="1:2" ht="36">
      <c r="A5" s="414" t="s">
        <v>1</v>
      </c>
      <c r="B5" s="410" t="s">
        <v>282</v>
      </c>
    </row>
    <row r="6" spans="1:2" ht="12.75">
      <c r="A6" s="413"/>
      <c r="B6" s="410"/>
    </row>
    <row r="7" spans="1:2" ht="12.75">
      <c r="A7" s="413"/>
      <c r="B7" s="410"/>
    </row>
    <row r="8" spans="1:2" ht="12.75">
      <c r="A8" s="414" t="s">
        <v>5</v>
      </c>
      <c r="B8" s="410" t="s">
        <v>138</v>
      </c>
    </row>
    <row r="9" spans="1:2" ht="12.75">
      <c r="A9" s="413"/>
      <c r="B9" s="410"/>
    </row>
    <row r="10" spans="1:2" ht="12.75">
      <c r="A10" s="414" t="s">
        <v>32</v>
      </c>
      <c r="B10" s="410" t="s">
        <v>283</v>
      </c>
    </row>
    <row r="11" spans="1:2" ht="12.75">
      <c r="A11" s="413"/>
      <c r="B11" s="410"/>
    </row>
    <row r="12" spans="1:2" ht="12.75">
      <c r="A12" s="413"/>
      <c r="B12" s="410"/>
    </row>
    <row r="13" spans="1:2" ht="12.75">
      <c r="A13" s="413" t="s">
        <v>139</v>
      </c>
      <c r="B13" s="410" t="s">
        <v>158</v>
      </c>
    </row>
    <row r="14" spans="1:2" ht="12.75">
      <c r="A14" s="413"/>
      <c r="B14" s="410"/>
    </row>
    <row r="15" spans="1:2" ht="12.75">
      <c r="A15" s="413" t="s">
        <v>140</v>
      </c>
      <c r="B15" s="410" t="s">
        <v>354</v>
      </c>
    </row>
    <row r="16" spans="1:2" ht="12.75">
      <c r="A16" s="413"/>
      <c r="B16" s="410"/>
    </row>
    <row r="17" spans="1:2" ht="12.75">
      <c r="A17" s="413" t="s">
        <v>141</v>
      </c>
      <c r="B17" s="410" t="s">
        <v>290</v>
      </c>
    </row>
    <row r="18" spans="1:2" ht="12.75">
      <c r="A18" s="413"/>
      <c r="B18" s="410"/>
    </row>
    <row r="19" spans="1:2" ht="48">
      <c r="A19" s="413" t="s">
        <v>143</v>
      </c>
      <c r="B19" s="410" t="s">
        <v>159</v>
      </c>
    </row>
    <row r="20" spans="1:2" ht="12.75">
      <c r="A20" s="413"/>
      <c r="B20" s="410"/>
    </row>
    <row r="21" spans="1:2" ht="12.75">
      <c r="A21" s="413" t="s">
        <v>177</v>
      </c>
      <c r="B21" s="410" t="s">
        <v>178</v>
      </c>
    </row>
    <row r="22" spans="1:2" ht="12.75">
      <c r="A22" s="413"/>
      <c r="B22" s="410"/>
    </row>
    <row r="23" spans="1:2" ht="12.75">
      <c r="A23" s="413"/>
      <c r="B23" s="410"/>
    </row>
    <row r="24" spans="1:2" ht="12.75">
      <c r="A24" s="413"/>
      <c r="B24" s="410"/>
    </row>
    <row r="25" spans="1:2" ht="12.75">
      <c r="A25" s="413" t="s">
        <v>145</v>
      </c>
      <c r="B25" s="410" t="s">
        <v>146</v>
      </c>
    </row>
    <row r="26" spans="1:2" ht="12.75">
      <c r="A26" s="413"/>
      <c r="B26" s="410" t="s">
        <v>288</v>
      </c>
    </row>
    <row r="27" spans="1:2" ht="12.75">
      <c r="A27" s="413"/>
      <c r="B27" s="410" t="s">
        <v>325</v>
      </c>
    </row>
    <row r="28" spans="1:2" ht="12.75">
      <c r="A28" s="413"/>
      <c r="B28" s="410"/>
    </row>
    <row r="29" spans="1:2" ht="12.75">
      <c r="A29" s="413" t="s">
        <v>147</v>
      </c>
      <c r="B29" s="411" t="s">
        <v>362</v>
      </c>
    </row>
    <row r="30" spans="1:2" ht="12.75">
      <c r="A30" s="409"/>
      <c r="B30" s="92"/>
    </row>
  </sheetData>
  <sheetProtection selectLockedCells="1"/>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tabColor rgb="FF00B050"/>
    <pageSetUpPr fitToPage="1"/>
  </sheetPr>
  <dimension ref="A1:BF126"/>
  <sheetViews>
    <sheetView showGridLines="0" showRowColHeaders="0" tabSelected="1" zoomScalePageLayoutView="0" workbookViewId="0" topLeftCell="A1">
      <selection activeCell="C31" sqref="C31"/>
    </sheetView>
  </sheetViews>
  <sheetFormatPr defaultColWidth="9.140625" defaultRowHeight="12.75"/>
  <cols>
    <col min="1" max="1" width="29.7109375" style="82" bestFit="1" customWidth="1"/>
    <col min="2" max="2" width="14.7109375" style="82" customWidth="1"/>
    <col min="3" max="3" width="96.421875" style="84" customWidth="1"/>
    <col min="4" max="4" width="34.57421875" style="83" bestFit="1" customWidth="1"/>
    <col min="5" max="5" width="21.421875" style="83" customWidth="1"/>
    <col min="6" max="6" width="8.421875" style="150" customWidth="1"/>
    <col min="7" max="7" width="45.28125" style="151" hidden="1" customWidth="1"/>
    <col min="8" max="8" width="62.28125" style="151" hidden="1" customWidth="1"/>
    <col min="9" max="9" width="18.57421875" style="151" hidden="1" customWidth="1"/>
    <col min="10" max="10" width="20.8515625" style="151" hidden="1" customWidth="1"/>
    <col min="11" max="11" width="41.421875" style="151" hidden="1" customWidth="1"/>
    <col min="12" max="12" width="20.57421875" style="151" hidden="1" customWidth="1"/>
    <col min="13" max="13" width="20.140625" style="151" hidden="1" customWidth="1"/>
    <col min="14" max="14" width="16.140625" style="151" hidden="1" customWidth="1"/>
    <col min="15" max="15" width="10.8515625" style="151" hidden="1" customWidth="1"/>
    <col min="16" max="16" width="7.57421875" style="151" hidden="1" customWidth="1"/>
    <col min="17" max="17" width="7.7109375" style="152" customWidth="1"/>
    <col min="18" max="18" width="5.421875" style="153" customWidth="1"/>
    <col min="19" max="19" width="7.57421875" style="153" customWidth="1"/>
    <col min="20" max="24" width="9.140625" style="153" customWidth="1"/>
    <col min="25" max="58" width="9.140625" style="154" customWidth="1"/>
    <col min="59" max="16384" width="9.140625" style="84" customWidth="1"/>
  </cols>
  <sheetData>
    <row r="1" spans="1:58" s="138" customFormat="1" ht="21">
      <c r="A1" s="61"/>
      <c r="B1" s="61"/>
      <c r="C1" s="62"/>
      <c r="D1" s="63"/>
      <c r="E1" s="64"/>
      <c r="F1" s="133"/>
      <c r="G1" s="134"/>
      <c r="H1" s="134"/>
      <c r="I1" s="134"/>
      <c r="J1" s="134"/>
      <c r="K1" s="134"/>
      <c r="L1" s="135"/>
      <c r="M1" s="135"/>
      <c r="N1" s="135"/>
      <c r="O1" s="135"/>
      <c r="P1" s="135"/>
      <c r="Q1" s="136"/>
      <c r="R1" s="137"/>
      <c r="S1" s="137"/>
      <c r="T1" s="137"/>
      <c r="U1" s="137"/>
      <c r="V1" s="137"/>
      <c r="W1" s="137"/>
      <c r="X1" s="137"/>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row>
    <row r="2" spans="1:58" s="138" customFormat="1" ht="18" customHeight="1">
      <c r="A2" s="61"/>
      <c r="B2" s="61"/>
      <c r="C2" s="65" t="s">
        <v>25</v>
      </c>
      <c r="D2" s="63"/>
      <c r="E2" s="64"/>
      <c r="F2" s="133"/>
      <c r="G2" s="135"/>
      <c r="H2" s="134"/>
      <c r="I2" s="134"/>
      <c r="J2" s="135"/>
      <c r="K2" s="135"/>
      <c r="L2" s="135"/>
      <c r="M2" s="135"/>
      <c r="N2" s="135"/>
      <c r="O2" s="135"/>
      <c r="P2" s="135"/>
      <c r="Q2" s="136"/>
      <c r="R2" s="137"/>
      <c r="S2" s="137"/>
      <c r="T2" s="137"/>
      <c r="U2" s="137"/>
      <c r="V2" s="137"/>
      <c r="W2" s="137"/>
      <c r="X2" s="137"/>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row>
    <row r="3" spans="1:58" s="144" customFormat="1" ht="18" customHeight="1">
      <c r="A3" s="66"/>
      <c r="B3" s="66"/>
      <c r="C3" s="65" t="s">
        <v>26</v>
      </c>
      <c r="D3" s="67"/>
      <c r="E3" s="68"/>
      <c r="F3" s="139"/>
      <c r="G3" s="140"/>
      <c r="H3" s="141"/>
      <c r="I3" s="141"/>
      <c r="J3" s="140"/>
      <c r="K3" s="140"/>
      <c r="L3" s="140"/>
      <c r="M3" s="140"/>
      <c r="N3" s="140"/>
      <c r="O3" s="140"/>
      <c r="P3" s="140"/>
      <c r="Q3" s="142"/>
      <c r="R3" s="143"/>
      <c r="S3" s="143"/>
      <c r="T3" s="143"/>
      <c r="U3" s="143"/>
      <c r="V3" s="143"/>
      <c r="W3" s="143"/>
      <c r="X3" s="143"/>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row>
    <row r="4" spans="1:58" s="144" customFormat="1" ht="18" customHeight="1">
      <c r="A4" s="66"/>
      <c r="B4" s="66"/>
      <c r="C4" s="65" t="str">
        <f>"for Academic Year "&amp;'School DATA'!D6</f>
        <v>for Academic Year 2023/24</v>
      </c>
      <c r="D4" s="69"/>
      <c r="E4" s="69"/>
      <c r="F4" s="139"/>
      <c r="G4" s="140"/>
      <c r="H4" s="141"/>
      <c r="I4" s="141"/>
      <c r="J4" s="140"/>
      <c r="K4" s="140"/>
      <c r="L4" s="140"/>
      <c r="M4" s="140"/>
      <c r="N4" s="140"/>
      <c r="O4" s="140"/>
      <c r="P4" s="140"/>
      <c r="Q4" s="142"/>
      <c r="R4" s="143"/>
      <c r="S4" s="143"/>
      <c r="T4" s="143"/>
      <c r="U4" s="143"/>
      <c r="V4" s="143"/>
      <c r="W4" s="143"/>
      <c r="X4" s="143"/>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row>
    <row r="5" spans="1:58" s="144" customFormat="1" ht="12.75">
      <c r="A5" s="66"/>
      <c r="B5" s="66"/>
      <c r="C5" s="70" t="s">
        <v>183</v>
      </c>
      <c r="D5" s="69"/>
      <c r="E5" s="69"/>
      <c r="F5" s="145"/>
      <c r="G5" s="140"/>
      <c r="H5" s="146">
        <f>'School DATA'!H48</f>
        <v>101570</v>
      </c>
      <c r="I5" s="147" t="s">
        <v>24</v>
      </c>
      <c r="J5" s="141"/>
      <c r="K5" s="141"/>
      <c r="L5" s="140"/>
      <c r="M5" s="140"/>
      <c r="N5" s="140"/>
      <c r="O5" s="140"/>
      <c r="P5" s="140"/>
      <c r="Q5" s="142"/>
      <c r="R5" s="143"/>
      <c r="S5" s="143"/>
      <c r="T5" s="143"/>
      <c r="U5" s="143"/>
      <c r="V5" s="143"/>
      <c r="W5" s="143"/>
      <c r="X5" s="143"/>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s="144" customFormat="1" ht="12.75">
      <c r="A6" s="66"/>
      <c r="B6" s="66"/>
      <c r="C6" s="71" t="s">
        <v>264</v>
      </c>
      <c r="D6" s="69"/>
      <c r="E6" s="72">
        <f>'School DATA'!D8</f>
        <v>44965</v>
      </c>
      <c r="F6" s="145"/>
      <c r="G6" s="140"/>
      <c r="H6" s="146">
        <f>'School DATA'!H50</f>
        <v>105864.3796</v>
      </c>
      <c r="I6" s="147" t="s">
        <v>130</v>
      </c>
      <c r="J6" s="141"/>
      <c r="K6" s="141"/>
      <c r="L6" s="140"/>
      <c r="M6" s="140"/>
      <c r="N6" s="140"/>
      <c r="O6" s="140"/>
      <c r="P6" s="140"/>
      <c r="Q6" s="142"/>
      <c r="R6" s="143"/>
      <c r="S6" s="143"/>
      <c r="T6" s="143"/>
      <c r="U6" s="143"/>
      <c r="V6" s="143"/>
      <c r="W6" s="143"/>
      <c r="X6" s="143"/>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row>
    <row r="7" spans="1:58" s="144" customFormat="1" ht="12.75">
      <c r="A7" s="66"/>
      <c r="B7" s="66"/>
      <c r="C7" s="70" t="s">
        <v>310</v>
      </c>
      <c r="D7" s="69">
        <f>'School DATA'!H44</f>
        <v>1.4022</v>
      </c>
      <c r="E7" s="73">
        <f>'School DATA'!I29</f>
        <v>44965</v>
      </c>
      <c r="F7" s="139"/>
      <c r="G7" s="140"/>
      <c r="H7" s="147"/>
      <c r="I7" s="141"/>
      <c r="J7" s="140"/>
      <c r="K7" s="140"/>
      <c r="L7" s="140"/>
      <c r="M7" s="140"/>
      <c r="N7" s="140"/>
      <c r="O7" s="140"/>
      <c r="P7" s="140"/>
      <c r="Q7" s="142"/>
      <c r="R7" s="143"/>
      <c r="S7" s="143"/>
      <c r="T7" s="143"/>
      <c r="U7" s="143"/>
      <c r="V7" s="143"/>
      <c r="W7" s="143"/>
      <c r="X7" s="143"/>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row>
    <row r="8" spans="1:58" s="144" customFormat="1" ht="12.75">
      <c r="A8" s="66"/>
      <c r="B8" s="66"/>
      <c r="C8" s="74" t="s">
        <v>157</v>
      </c>
      <c r="D8" s="75"/>
      <c r="E8" s="76">
        <f>'School DATA'!I30</f>
        <v>45261</v>
      </c>
      <c r="F8" s="139"/>
      <c r="G8" s="140" t="s">
        <v>68</v>
      </c>
      <c r="H8" s="148" t="s">
        <v>21</v>
      </c>
      <c r="I8" s="148" t="s">
        <v>22</v>
      </c>
      <c r="J8" s="140"/>
      <c r="K8" s="140"/>
      <c r="L8" s="140"/>
      <c r="M8" s="140"/>
      <c r="N8" s="140"/>
      <c r="O8" s="140"/>
      <c r="P8" s="140"/>
      <c r="Q8" s="142"/>
      <c r="R8" s="143"/>
      <c r="S8" s="143"/>
      <c r="T8" s="143"/>
      <c r="U8" s="143"/>
      <c r="V8" s="143"/>
      <c r="W8" s="143"/>
      <c r="X8" s="143"/>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row>
    <row r="9" spans="1:58" s="144" customFormat="1" ht="12.75">
      <c r="A9" s="66"/>
      <c r="B9" s="66"/>
      <c r="C9" s="74" t="s">
        <v>40</v>
      </c>
      <c r="D9" s="77">
        <f>'School DATA'!E11</f>
        <v>44</v>
      </c>
      <c r="E9" s="68"/>
      <c r="F9" s="139"/>
      <c r="G9" s="140" t="s">
        <v>66</v>
      </c>
      <c r="H9" s="149" t="s">
        <v>7</v>
      </c>
      <c r="I9" s="149">
        <v>1</v>
      </c>
      <c r="J9" s="140"/>
      <c r="K9" s="140"/>
      <c r="L9" s="140"/>
      <c r="M9" s="140"/>
      <c r="N9" s="140"/>
      <c r="O9" s="140"/>
      <c r="P9" s="140"/>
      <c r="Q9" s="142"/>
      <c r="R9" s="143"/>
      <c r="S9" s="143"/>
      <c r="T9" s="143"/>
      <c r="U9" s="143"/>
      <c r="V9" s="143"/>
      <c r="W9" s="143"/>
      <c r="X9" s="143"/>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row>
    <row r="10" spans="1:9" ht="12.75">
      <c r="A10" s="78"/>
      <c r="B10" s="78"/>
      <c r="C10" s="74" t="s">
        <v>41</v>
      </c>
      <c r="D10" s="77">
        <f>'School DATA'!E13</f>
        <v>52</v>
      </c>
      <c r="E10" s="68"/>
      <c r="G10" s="151" t="s">
        <v>67</v>
      </c>
      <c r="H10" s="149" t="s">
        <v>6</v>
      </c>
      <c r="I10" s="149">
        <v>2</v>
      </c>
    </row>
    <row r="11" spans="1:14" ht="13.5" thickBot="1">
      <c r="A11" s="78"/>
      <c r="B11" s="78"/>
      <c r="C11" s="79"/>
      <c r="D11" s="80"/>
      <c r="E11" s="81"/>
      <c r="G11" s="155"/>
      <c r="H11" s="149"/>
      <c r="I11" s="149" t="s">
        <v>303</v>
      </c>
      <c r="M11" s="140" t="s">
        <v>134</v>
      </c>
      <c r="N11" s="140"/>
    </row>
    <row r="12" spans="1:14" ht="18.75" thickBot="1">
      <c r="A12" s="305" t="s">
        <v>340</v>
      </c>
      <c r="B12" s="306"/>
      <c r="C12" s="431" t="s">
        <v>330</v>
      </c>
      <c r="D12" s="431"/>
      <c r="E12" s="307"/>
      <c r="F12" s="156"/>
      <c r="G12" s="151" t="s">
        <v>270</v>
      </c>
      <c r="H12" s="157" t="s">
        <v>48</v>
      </c>
      <c r="I12" s="157" t="s">
        <v>91</v>
      </c>
      <c r="L12" s="157" t="s">
        <v>175</v>
      </c>
      <c r="M12" s="157" t="s">
        <v>96</v>
      </c>
      <c r="N12" s="140" t="s">
        <v>135</v>
      </c>
    </row>
    <row r="13" spans="1:14" ht="12.75">
      <c r="A13" s="308"/>
      <c r="B13" s="309"/>
      <c r="C13" s="310"/>
      <c r="D13" s="311"/>
      <c r="E13" s="312"/>
      <c r="F13" s="156"/>
      <c r="G13" s="151" t="s">
        <v>271</v>
      </c>
      <c r="H13" s="149" t="s">
        <v>92</v>
      </c>
      <c r="I13" s="149" t="s">
        <v>93</v>
      </c>
      <c r="J13" s="158">
        <f>'School DATA'!D7</f>
        <v>45194</v>
      </c>
      <c r="L13" s="159">
        <f>COUNT(M13:M19)</f>
        <v>3</v>
      </c>
      <c r="M13" s="160">
        <f>IF(('School DATA'!D18&gt;10/10/2010),'School DATA'!D18,"")</f>
        <v>45194</v>
      </c>
      <c r="N13" s="161">
        <f>IF((ISNUMBER(M13)),(E91/L13),"")</f>
        <v>0</v>
      </c>
    </row>
    <row r="14" spans="1:14" ht="18">
      <c r="A14" s="313" t="s">
        <v>77</v>
      </c>
      <c r="B14" s="314"/>
      <c r="C14" s="447"/>
      <c r="D14" s="447"/>
      <c r="E14" s="448"/>
      <c r="F14" s="162"/>
      <c r="H14" s="149"/>
      <c r="I14" s="149" t="s">
        <v>94</v>
      </c>
      <c r="J14" s="158">
        <f>'School DATA'!D11</f>
        <v>45503</v>
      </c>
      <c r="L14" s="149" t="s">
        <v>131</v>
      </c>
      <c r="M14" s="160">
        <f>IF(('School DATA'!D19&gt;10/10/2010),'School DATA'!D19,"")</f>
        <v>45306</v>
      </c>
      <c r="N14" s="161">
        <f>IF((ISNUMBER(M14)),(E91/L13),"")</f>
        <v>0</v>
      </c>
    </row>
    <row r="15" spans="1:14" ht="18">
      <c r="A15" s="316" t="s">
        <v>301</v>
      </c>
      <c r="B15" s="316"/>
      <c r="C15" s="447"/>
      <c r="D15" s="447"/>
      <c r="E15" s="448"/>
      <c r="F15" s="162"/>
      <c r="H15" s="149" t="s">
        <v>95</v>
      </c>
      <c r="I15" s="149" t="s">
        <v>93</v>
      </c>
      <c r="J15" s="158">
        <f>'School DATA'!D7</f>
        <v>45194</v>
      </c>
      <c r="L15" s="149" t="s">
        <v>132</v>
      </c>
      <c r="M15" s="160">
        <f>IF(('School DATA'!D20&gt;10/10/2010),'School DATA'!D20,"")</f>
        <v>45411</v>
      </c>
      <c r="N15" s="161">
        <f>IF((ISNUMBER(M15)),(E91/L13),"")</f>
        <v>0</v>
      </c>
    </row>
    <row r="16" spans="1:15" ht="18">
      <c r="A16" s="313" t="s">
        <v>69</v>
      </c>
      <c r="B16" s="314"/>
      <c r="C16" s="438"/>
      <c r="D16" s="438"/>
      <c r="E16" s="439"/>
      <c r="F16" s="162"/>
      <c r="H16" s="149"/>
      <c r="I16" s="149" t="s">
        <v>94</v>
      </c>
      <c r="J16" s="158">
        <f>'School DATA'!E7</f>
        <v>45557</v>
      </c>
      <c r="L16" s="149" t="s">
        <v>133</v>
      </c>
      <c r="M16" s="160">
        <f>IF(('School DATA'!D21&gt;10/10/2010),'School DATA'!D21,"")</f>
      </c>
      <c r="N16" s="161">
        <f>IF((ISNUMBER(M16)),(E91/L13),"")</f>
      </c>
      <c r="O16" s="161"/>
    </row>
    <row r="17" spans="1:6" ht="18">
      <c r="A17" s="313" t="s">
        <v>70</v>
      </c>
      <c r="B17" s="314"/>
      <c r="C17" s="438"/>
      <c r="D17" s="438"/>
      <c r="E17" s="439"/>
      <c r="F17" s="162"/>
    </row>
    <row r="18" spans="1:6" ht="18">
      <c r="A18" s="313" t="s">
        <v>71</v>
      </c>
      <c r="B18" s="314"/>
      <c r="C18" s="438"/>
      <c r="D18" s="438"/>
      <c r="E18" s="439"/>
      <c r="F18" s="162"/>
    </row>
    <row r="19" spans="1:6" ht="18">
      <c r="A19" s="313" t="s">
        <v>72</v>
      </c>
      <c r="B19" s="314"/>
      <c r="C19" s="438"/>
      <c r="D19" s="438"/>
      <c r="E19" s="439"/>
      <c r="F19" s="162"/>
    </row>
    <row r="20" spans="1:11" ht="18">
      <c r="A20" s="317" t="s">
        <v>73</v>
      </c>
      <c r="B20" s="317"/>
      <c r="C20" s="438"/>
      <c r="D20" s="438"/>
      <c r="E20" s="439"/>
      <c r="F20" s="162"/>
      <c r="K20" s="157"/>
    </row>
    <row r="21" spans="1:11" ht="18">
      <c r="A21" s="317" t="s">
        <v>74</v>
      </c>
      <c r="B21" s="317"/>
      <c r="C21" s="440"/>
      <c r="D21" s="440"/>
      <c r="E21" s="441"/>
      <c r="F21" s="162"/>
      <c r="H21" s="140" t="s">
        <v>309</v>
      </c>
      <c r="K21" s="140" t="s">
        <v>161</v>
      </c>
    </row>
    <row r="22" spans="1:17" ht="18">
      <c r="A22" s="317" t="s">
        <v>75</v>
      </c>
      <c r="B22" s="317"/>
      <c r="C22" s="442"/>
      <c r="D22" s="443"/>
      <c r="E22" s="444"/>
      <c r="F22" s="162"/>
      <c r="G22" s="163" t="s">
        <v>9</v>
      </c>
      <c r="H22" s="164" t="s">
        <v>43</v>
      </c>
      <c r="I22" s="164" t="s">
        <v>44</v>
      </c>
      <c r="J22" s="165"/>
      <c r="K22" s="165" t="s">
        <v>9</v>
      </c>
      <c r="L22" s="164" t="s">
        <v>43</v>
      </c>
      <c r="M22" s="164" t="s">
        <v>44</v>
      </c>
      <c r="N22" s="164"/>
      <c r="O22" s="165"/>
      <c r="P22" s="165"/>
      <c r="Q22" s="166"/>
    </row>
    <row r="23" spans="1:17" ht="18">
      <c r="A23" s="316" t="s">
        <v>76</v>
      </c>
      <c r="B23" s="316"/>
      <c r="C23" s="438"/>
      <c r="D23" s="438"/>
      <c r="E23" s="439"/>
      <c r="F23" s="162"/>
      <c r="G23" s="167">
        <f>IF(D27="Y",0,K23)</f>
        <v>0</v>
      </c>
      <c r="H23" s="165"/>
      <c r="I23" s="168">
        <f>IF((D27="N"),M23,0)</f>
        <v>20500</v>
      </c>
      <c r="J23" s="151" t="s">
        <v>10</v>
      </c>
      <c r="K23" s="151">
        <v>0</v>
      </c>
      <c r="L23" s="165">
        <v>0</v>
      </c>
      <c r="M23" s="151">
        <v>20500</v>
      </c>
      <c r="O23" s="165"/>
      <c r="P23" s="165"/>
      <c r="Q23" s="166"/>
    </row>
    <row r="24" spans="1:58" s="171" customFormat="1" ht="18">
      <c r="A24" s="313" t="s">
        <v>8</v>
      </c>
      <c r="B24" s="314"/>
      <c r="C24" s="445"/>
      <c r="D24" s="445"/>
      <c r="E24" s="446"/>
      <c r="F24" s="162"/>
      <c r="G24" s="167">
        <f>IF((AND(D27="Y",D28="N",D30=1)),K24,0)</f>
        <v>0</v>
      </c>
      <c r="H24" s="151">
        <f>IF((AND(D27="Y",D31="D",D30=1)),L24,0)</f>
        <v>0</v>
      </c>
      <c r="I24" s="151">
        <f>IF((AND(D27="Y",D31="I",D30=1)),M24,0)</f>
        <v>0</v>
      </c>
      <c r="J24" s="151" t="s">
        <v>11</v>
      </c>
      <c r="K24" s="151">
        <v>3500</v>
      </c>
      <c r="L24" s="151">
        <v>2000</v>
      </c>
      <c r="M24" s="151">
        <v>6000</v>
      </c>
      <c r="N24" s="151"/>
      <c r="O24" s="165"/>
      <c r="P24" s="165"/>
      <c r="Q24" s="166"/>
      <c r="R24" s="169"/>
      <c r="S24" s="169"/>
      <c r="T24" s="169"/>
      <c r="U24" s="169"/>
      <c r="V24" s="169"/>
      <c r="W24" s="169"/>
      <c r="X24" s="169"/>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row>
    <row r="25" spans="1:58" s="171" customFormat="1" ht="18.75" thickBot="1">
      <c r="A25" s="313" t="s">
        <v>312</v>
      </c>
      <c r="B25" s="314"/>
      <c r="C25" s="445"/>
      <c r="D25" s="445"/>
      <c r="E25" s="446"/>
      <c r="F25" s="156"/>
      <c r="G25" s="167">
        <f>IF((AND(D27="Y",D28="N",D30=2)),K25,0)</f>
        <v>0</v>
      </c>
      <c r="H25" s="151">
        <f>IF((AND(D27="Y",D31="D",D30=2)),L25,0)</f>
        <v>0</v>
      </c>
      <c r="I25" s="151">
        <f>IF((AND(D27="Y",D31="I",D30=2)),M25,0)</f>
        <v>0</v>
      </c>
      <c r="J25" s="151" t="s">
        <v>12</v>
      </c>
      <c r="K25" s="151">
        <v>4500</v>
      </c>
      <c r="L25" s="151">
        <v>2000</v>
      </c>
      <c r="M25" s="151">
        <v>6000</v>
      </c>
      <c r="N25" s="151"/>
      <c r="O25" s="151"/>
      <c r="P25" s="151"/>
      <c r="Q25" s="152"/>
      <c r="R25" s="169"/>
      <c r="S25" s="169"/>
      <c r="T25" s="169"/>
      <c r="U25" s="169"/>
      <c r="V25" s="169"/>
      <c r="W25" s="169"/>
      <c r="X25" s="169"/>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row>
    <row r="26" spans="1:58" s="171" customFormat="1" ht="18.75" thickBot="1">
      <c r="A26" s="340" t="s">
        <v>342</v>
      </c>
      <c r="B26" s="341"/>
      <c r="C26" s="342"/>
      <c r="D26" s="343"/>
      <c r="E26" s="304"/>
      <c r="F26" s="156"/>
      <c r="G26" s="167">
        <f>IF((AND(D27="Y",D28="N",D30&gt;2)),K26,0)</f>
        <v>0</v>
      </c>
      <c r="H26" s="151">
        <f>IF((AND(D27="Y",D31="D",D30&gt;2)),L26,0)</f>
        <v>0</v>
      </c>
      <c r="I26" s="151">
        <f>IF((AND(D27="Y",D31="I",D30&gt;2)),M26,0)</f>
        <v>0</v>
      </c>
      <c r="J26" s="151" t="s">
        <v>23</v>
      </c>
      <c r="K26" s="151">
        <v>5500</v>
      </c>
      <c r="L26" s="151">
        <v>2000</v>
      </c>
      <c r="M26" s="151">
        <v>7000</v>
      </c>
      <c r="N26" s="151"/>
      <c r="O26" s="151"/>
      <c r="P26" s="151"/>
      <c r="Q26" s="152"/>
      <c r="R26" s="169"/>
      <c r="S26" s="169"/>
      <c r="T26" s="169"/>
      <c r="U26" s="169"/>
      <c r="V26" s="169"/>
      <c r="W26" s="169"/>
      <c r="X26" s="169"/>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row>
    <row r="27" spans="1:13" ht="31.5">
      <c r="A27" s="344" t="s">
        <v>343</v>
      </c>
      <c r="B27" s="318"/>
      <c r="C27" s="322" t="s">
        <v>341</v>
      </c>
      <c r="D27" s="315" t="s">
        <v>7</v>
      </c>
      <c r="E27" s="323"/>
      <c r="F27" s="156"/>
      <c r="G27" s="167">
        <f>IF((AND(D27="Y",D28="Y",D29="Y")),K27,0)</f>
        <v>0</v>
      </c>
      <c r="H27" s="151">
        <f>IF((AND(D28="Y",D32="D",D31&gt;2)),L27,0)</f>
        <v>0</v>
      </c>
      <c r="I27" s="168">
        <f>IF((AND(D27="Y",D28="Y",D29="Y")),M27,0)</f>
        <v>0</v>
      </c>
      <c r="J27" s="151" t="s">
        <v>13</v>
      </c>
      <c r="K27" s="151">
        <f>K23</f>
        <v>0</v>
      </c>
      <c r="L27" s="151">
        <f>L23</f>
        <v>0</v>
      </c>
      <c r="M27" s="151">
        <f>M23</f>
        <v>20500</v>
      </c>
    </row>
    <row r="28" spans="1:12" ht="15.75">
      <c r="A28" s="308"/>
      <c r="B28" s="309"/>
      <c r="C28" s="324" t="str">
        <f>IF(D27="N","Do not adjust this line","Are you taking a profesional course but at undergraduate level? Only answer Y or N")</f>
        <v>Do not adjust this line</v>
      </c>
      <c r="D28" s="315" t="s">
        <v>61</v>
      </c>
      <c r="E28" s="323"/>
      <c r="F28" s="156"/>
      <c r="G28" s="167">
        <f>MAX(G23:G27)</f>
        <v>0</v>
      </c>
      <c r="H28" s="168"/>
      <c r="I28" s="168">
        <f>MAX(H23:I27)</f>
        <v>20500</v>
      </c>
      <c r="J28" s="140" t="s">
        <v>36</v>
      </c>
      <c r="K28" s="140"/>
      <c r="L28" s="140" t="s">
        <v>184</v>
      </c>
    </row>
    <row r="29" spans="1:11" ht="15.75">
      <c r="A29" s="308"/>
      <c r="B29" s="309"/>
      <c r="C29" s="325" t="str">
        <f>IF((AND(D27="Y",D28="Y")),"Do you already have another undergraduate degree - answer Y or N","Do not adjust this line")</f>
        <v>Do not adjust this line</v>
      </c>
      <c r="D29" s="315" t="s">
        <v>61</v>
      </c>
      <c r="E29" s="323"/>
      <c r="F29" s="156"/>
      <c r="G29" s="172"/>
      <c r="K29" s="140"/>
    </row>
    <row r="30" spans="1:12" ht="15.75">
      <c r="A30" s="308"/>
      <c r="B30" s="309"/>
      <c r="C30" s="326" t="s">
        <v>313</v>
      </c>
      <c r="D30" s="327">
        <v>1</v>
      </c>
      <c r="E30" s="323"/>
      <c r="F30" s="156"/>
      <c r="G30" s="172"/>
      <c r="H30" s="140" t="s">
        <v>162</v>
      </c>
      <c r="L30" s="173" t="s">
        <v>65</v>
      </c>
    </row>
    <row r="31" spans="1:12" ht="15.75">
      <c r="A31" s="308"/>
      <c r="B31" s="309"/>
      <c r="C31" s="328" t="s">
        <v>100</v>
      </c>
      <c r="D31" s="315" t="s">
        <v>67</v>
      </c>
      <c r="E31" s="323"/>
      <c r="F31" s="174"/>
      <c r="G31" s="172" t="s">
        <v>42</v>
      </c>
      <c r="H31" s="175" t="s">
        <v>15</v>
      </c>
      <c r="I31" s="175" t="s">
        <v>16</v>
      </c>
      <c r="J31" s="140" t="s">
        <v>14</v>
      </c>
      <c r="K31" s="140"/>
      <c r="L31" s="151" t="s">
        <v>13</v>
      </c>
    </row>
    <row r="32" spans="1:10" ht="15.75">
      <c r="A32" s="308"/>
      <c r="B32" s="309"/>
      <c r="C32" s="328" t="s">
        <v>0</v>
      </c>
      <c r="D32" s="329">
        <v>0</v>
      </c>
      <c r="E32" s="330"/>
      <c r="F32" s="174"/>
      <c r="G32" s="176">
        <f>D7</f>
        <v>1.4022</v>
      </c>
      <c r="H32" s="168">
        <f>D33*G32</f>
        <v>0</v>
      </c>
      <c r="I32" s="168">
        <f>E33</f>
        <v>0</v>
      </c>
      <c r="J32" s="140" t="s">
        <v>17</v>
      </c>
    </row>
    <row r="33" spans="1:10" ht="15.75">
      <c r="A33" s="308"/>
      <c r="B33" s="309"/>
      <c r="C33" s="328" t="s">
        <v>265</v>
      </c>
      <c r="D33" s="331">
        <v>0</v>
      </c>
      <c r="E33" s="330"/>
      <c r="F33" s="177"/>
      <c r="G33" s="172">
        <f>G32</f>
        <v>1.4022</v>
      </c>
      <c r="H33" s="168">
        <f>D34*G33</f>
        <v>0</v>
      </c>
      <c r="I33" s="168">
        <f>E34</f>
        <v>0</v>
      </c>
      <c r="J33" s="151" t="s">
        <v>18</v>
      </c>
    </row>
    <row r="34" spans="1:10" ht="30">
      <c r="A34" s="308"/>
      <c r="B34" s="309"/>
      <c r="C34" s="332" t="s">
        <v>296</v>
      </c>
      <c r="D34" s="331">
        <v>0</v>
      </c>
      <c r="E34" s="333">
        <v>0</v>
      </c>
      <c r="F34" s="177"/>
      <c r="G34" s="172">
        <f>G33</f>
        <v>1.4022</v>
      </c>
      <c r="H34" s="168">
        <f>D35*G34</f>
        <v>0</v>
      </c>
      <c r="I34" s="168">
        <f>E35</f>
        <v>0</v>
      </c>
      <c r="J34" s="151" t="s">
        <v>19</v>
      </c>
    </row>
    <row r="35" spans="1:10" ht="15.75">
      <c r="A35" s="308"/>
      <c r="B35" s="309"/>
      <c r="C35" s="332" t="s">
        <v>314</v>
      </c>
      <c r="D35" s="331">
        <v>0</v>
      </c>
      <c r="E35" s="334"/>
      <c r="F35" s="177"/>
      <c r="G35" s="172">
        <f>G34</f>
        <v>1.4022</v>
      </c>
      <c r="H35" s="168">
        <f>D36*G35</f>
        <v>0</v>
      </c>
      <c r="I35" s="168">
        <f>E36</f>
        <v>0</v>
      </c>
      <c r="J35" s="151" t="s">
        <v>46</v>
      </c>
    </row>
    <row r="36" spans="1:10" ht="15.75">
      <c r="A36" s="308"/>
      <c r="B36" s="309"/>
      <c r="C36" s="328" t="s">
        <v>297</v>
      </c>
      <c r="D36" s="331">
        <v>0</v>
      </c>
      <c r="E36" s="334"/>
      <c r="F36" s="177"/>
      <c r="G36" s="172">
        <f>G34</f>
        <v>1.4022</v>
      </c>
      <c r="H36" s="168">
        <f>D37*G36</f>
        <v>0</v>
      </c>
      <c r="I36" s="168">
        <f>E37</f>
        <v>0</v>
      </c>
      <c r="J36" s="151" t="s">
        <v>47</v>
      </c>
    </row>
    <row r="37" spans="1:58" s="171" customFormat="1" ht="16.5" thickBot="1">
      <c r="A37" s="309"/>
      <c r="B37" s="309"/>
      <c r="C37" s="328" t="s">
        <v>298</v>
      </c>
      <c r="D37" s="335"/>
      <c r="E37" s="336">
        <v>0</v>
      </c>
      <c r="F37" s="178"/>
      <c r="G37" s="179"/>
      <c r="H37" s="180"/>
      <c r="I37" s="181">
        <f>SUM(H33:I36)</f>
        <v>0</v>
      </c>
      <c r="J37" s="157" t="s">
        <v>45</v>
      </c>
      <c r="K37" s="157"/>
      <c r="L37" s="165"/>
      <c r="M37" s="165"/>
      <c r="N37" s="165"/>
      <c r="O37" s="165"/>
      <c r="P37" s="165"/>
      <c r="Q37" s="166"/>
      <c r="R37" s="169"/>
      <c r="S37" s="169"/>
      <c r="T37" s="169"/>
      <c r="U37" s="169"/>
      <c r="V37" s="169"/>
      <c r="W37" s="169"/>
      <c r="X37" s="169"/>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row>
    <row r="38" spans="1:9" ht="14.25" customHeight="1" thickBot="1">
      <c r="A38" s="314"/>
      <c r="B38" s="314"/>
      <c r="C38" s="319" t="s">
        <v>272</v>
      </c>
      <c r="D38" s="320" t="s">
        <v>271</v>
      </c>
      <c r="E38" s="321"/>
      <c r="F38" s="182"/>
      <c r="G38" s="172"/>
      <c r="I38" s="168"/>
    </row>
    <row r="39" spans="1:8" ht="16.5" thickBot="1">
      <c r="A39" s="58"/>
      <c r="B39" s="58"/>
      <c r="C39" s="337"/>
      <c r="D39" s="338"/>
      <c r="E39" s="339"/>
      <c r="F39" s="183"/>
      <c r="G39" s="172"/>
      <c r="H39" s="140" t="s">
        <v>163</v>
      </c>
    </row>
    <row r="40" spans="1:10" ht="18.75" thickBot="1">
      <c r="A40" s="345" t="s">
        <v>344</v>
      </c>
      <c r="B40" s="357" t="s">
        <v>351</v>
      </c>
      <c r="C40" s="346"/>
      <c r="D40" s="347"/>
      <c r="E40" s="348"/>
      <c r="F40" s="174"/>
      <c r="G40" s="172" t="s">
        <v>20</v>
      </c>
      <c r="H40" s="168" t="s">
        <v>34</v>
      </c>
      <c r="I40" s="168" t="s">
        <v>35</v>
      </c>
      <c r="J40" s="151" t="s">
        <v>33</v>
      </c>
    </row>
    <row r="41" spans="1:11" ht="15.75">
      <c r="A41" s="56"/>
      <c r="B41" s="57"/>
      <c r="C41" s="349"/>
      <c r="D41" s="358" t="s">
        <v>267</v>
      </c>
      <c r="E41" s="359" t="s">
        <v>80</v>
      </c>
      <c r="F41" s="174"/>
      <c r="G41" s="172">
        <f>D9</f>
        <v>44</v>
      </c>
      <c r="H41" s="168">
        <f>E42*G32*G41</f>
        <v>0</v>
      </c>
      <c r="I41" s="168">
        <f>J41*G32*E42</f>
        <v>0</v>
      </c>
      <c r="J41" s="184">
        <f>D10</f>
        <v>52</v>
      </c>
      <c r="K41" s="184"/>
    </row>
    <row r="42" spans="1:11" ht="15">
      <c r="A42" s="56"/>
      <c r="B42" s="57"/>
      <c r="C42" s="349" t="s">
        <v>372</v>
      </c>
      <c r="D42" s="355">
        <f>'School DATA'!I11</f>
        <v>350</v>
      </c>
      <c r="E42" s="351">
        <v>0</v>
      </c>
      <c r="F42" s="174"/>
      <c r="G42" s="172">
        <f>D9</f>
        <v>44</v>
      </c>
      <c r="H42" s="168">
        <f>E43*G33*G42</f>
        <v>0</v>
      </c>
      <c r="I42" s="168">
        <f>J42*G33*E43</f>
        <v>0</v>
      </c>
      <c r="J42" s="184">
        <f>J41</f>
        <v>52</v>
      </c>
      <c r="K42" s="184"/>
    </row>
    <row r="43" spans="1:11" ht="15">
      <c r="A43" s="56"/>
      <c r="B43" s="57"/>
      <c r="C43" s="349" t="s">
        <v>373</v>
      </c>
      <c r="D43" s="355">
        <f>'School DATA'!H12+'School DATA'!H13</f>
        <v>120</v>
      </c>
      <c r="E43" s="351">
        <v>0</v>
      </c>
      <c r="F43" s="174"/>
      <c r="G43" s="172">
        <f>G42</f>
        <v>44</v>
      </c>
      <c r="H43" s="168">
        <f>E44*G32*G43</f>
        <v>0</v>
      </c>
      <c r="I43" s="168">
        <f>J43*G34*E44</f>
        <v>0</v>
      </c>
      <c r="J43" s="184">
        <f>J42</f>
        <v>52</v>
      </c>
      <c r="K43" s="184"/>
    </row>
    <row r="44" spans="1:11" ht="15">
      <c r="A44" s="56"/>
      <c r="B44" s="57"/>
      <c r="C44" s="349" t="s">
        <v>5</v>
      </c>
      <c r="D44" s="355">
        <f>'School DATA'!H14</f>
        <v>15</v>
      </c>
      <c r="E44" s="351">
        <v>0</v>
      </c>
      <c r="F44" s="174"/>
      <c r="G44" s="172">
        <f>G43</f>
        <v>44</v>
      </c>
      <c r="H44" s="168">
        <f>E45*G33*G44</f>
        <v>0</v>
      </c>
      <c r="I44" s="168">
        <f>J44*G35*E45</f>
        <v>0</v>
      </c>
      <c r="J44" s="184">
        <f>J43</f>
        <v>52</v>
      </c>
      <c r="K44" s="184"/>
    </row>
    <row r="45" spans="1:11" ht="15">
      <c r="A45" s="56"/>
      <c r="B45" s="57"/>
      <c r="C45" s="349" t="s">
        <v>250</v>
      </c>
      <c r="D45" s="355">
        <f>'School DATA'!H15</f>
        <v>40</v>
      </c>
      <c r="E45" s="351">
        <v>0</v>
      </c>
      <c r="F45" s="174"/>
      <c r="G45" s="172">
        <f>G44</f>
        <v>44</v>
      </c>
      <c r="H45" s="168">
        <f>E46*G34*G45</f>
        <v>0</v>
      </c>
      <c r="I45" s="168">
        <f>J45*G36*E46</f>
        <v>0</v>
      </c>
      <c r="J45" s="184">
        <f>J44</f>
        <v>52</v>
      </c>
      <c r="K45" s="184"/>
    </row>
    <row r="46" spans="1:9" ht="15.75" thickBot="1">
      <c r="A46" s="56"/>
      <c r="B46" s="57"/>
      <c r="C46" s="349" t="s">
        <v>2</v>
      </c>
      <c r="D46" s="355">
        <f>'School DATA'!H16</f>
        <v>60</v>
      </c>
      <c r="E46" s="351">
        <v>0</v>
      </c>
      <c r="F46" s="174"/>
      <c r="G46" s="172"/>
      <c r="H46" s="168"/>
      <c r="I46" s="168"/>
    </row>
    <row r="47" spans="1:9" ht="15.75" thickBot="1">
      <c r="A47" s="57"/>
      <c r="B47" s="57"/>
      <c r="C47" s="328"/>
      <c r="D47" s="415"/>
      <c r="E47" s="416"/>
      <c r="F47" s="182"/>
      <c r="H47" s="168"/>
      <c r="I47" s="168"/>
    </row>
    <row r="48" spans="1:11" ht="21.75" thickBot="1">
      <c r="A48" s="257"/>
      <c r="B48" s="257"/>
      <c r="C48" s="132"/>
      <c r="D48" s="60"/>
      <c r="E48" s="59"/>
      <c r="F48" s="183"/>
      <c r="H48" s="140" t="s">
        <v>164</v>
      </c>
      <c r="I48" s="168"/>
      <c r="K48" s="135" t="s">
        <v>88</v>
      </c>
    </row>
    <row r="49" spans="1:11" ht="21">
      <c r="A49" s="385" t="s">
        <v>345</v>
      </c>
      <c r="B49" s="386" t="s">
        <v>349</v>
      </c>
      <c r="C49" s="387"/>
      <c r="D49" s="436" t="s">
        <v>268</v>
      </c>
      <c r="E49" s="434" t="str">
        <f>E41</f>
        <v>Your Request</v>
      </c>
      <c r="F49" s="183"/>
      <c r="H49" s="140"/>
      <c r="I49" s="168"/>
      <c r="K49" s="135"/>
    </row>
    <row r="50" spans="1:15" ht="18.75" thickBot="1">
      <c r="A50" s="388"/>
      <c r="B50" s="389" t="s">
        <v>350</v>
      </c>
      <c r="C50" s="390"/>
      <c r="D50" s="437"/>
      <c r="E50" s="435"/>
      <c r="F50" s="185"/>
      <c r="G50" s="186">
        <f>D7</f>
        <v>1.4022</v>
      </c>
      <c r="H50" s="168">
        <f aca="true" t="shared" si="0" ref="H50:H56">E51*G50</f>
        <v>0</v>
      </c>
      <c r="I50" s="168"/>
      <c r="L50" s="151" t="s">
        <v>90</v>
      </c>
      <c r="M50" s="151" t="s">
        <v>148</v>
      </c>
      <c r="N50" s="151" t="s">
        <v>156</v>
      </c>
      <c r="O50" s="151" t="s">
        <v>150</v>
      </c>
    </row>
    <row r="51" spans="1:15" ht="15">
      <c r="A51" s="258"/>
      <c r="B51" s="257"/>
      <c r="C51" s="349" t="s">
        <v>3</v>
      </c>
      <c r="D51" s="350">
        <f>'School DATA'!H19*2</f>
        <v>2600</v>
      </c>
      <c r="E51" s="351">
        <v>0</v>
      </c>
      <c r="G51" s="151">
        <f aca="true" t="shared" si="1" ref="G51:G56">G50</f>
        <v>1.4022</v>
      </c>
      <c r="H51" s="168">
        <f t="shared" si="0"/>
        <v>0</v>
      </c>
      <c r="I51" s="168"/>
      <c r="K51" s="151" t="s">
        <v>89</v>
      </c>
      <c r="M51" s="151" t="s">
        <v>149</v>
      </c>
      <c r="N51" s="151" t="s">
        <v>42</v>
      </c>
      <c r="O51" s="151" t="s">
        <v>151</v>
      </c>
    </row>
    <row r="52" spans="1:15" ht="15">
      <c r="A52" s="258"/>
      <c r="B52" s="257"/>
      <c r="C52" s="349" t="s">
        <v>142</v>
      </c>
      <c r="D52" s="350">
        <f>'School DATA'!H20</f>
        <v>400</v>
      </c>
      <c r="E52" s="351">
        <v>0</v>
      </c>
      <c r="F52" s="174"/>
      <c r="G52" s="151">
        <f t="shared" si="1"/>
        <v>1.4022</v>
      </c>
      <c r="H52" s="168">
        <f t="shared" si="0"/>
        <v>0</v>
      </c>
      <c r="I52" s="168"/>
      <c r="K52" s="151" t="s">
        <v>172</v>
      </c>
      <c r="L52" s="187">
        <f>'School DATA'!D38</f>
        <v>1.057</v>
      </c>
      <c r="M52" s="187">
        <f>'School DATA'!E38</f>
        <v>0</v>
      </c>
      <c r="N52" s="187">
        <f>L52-M52</f>
        <v>1.057</v>
      </c>
      <c r="O52" s="188">
        <f>N52*0.01</f>
        <v>0.01057</v>
      </c>
    </row>
    <row r="53" spans="1:15" ht="15">
      <c r="A53" s="258"/>
      <c r="B53" s="257"/>
      <c r="C53" s="349" t="s">
        <v>252</v>
      </c>
      <c r="D53" s="350">
        <f>'School DATA'!H21</f>
        <v>999</v>
      </c>
      <c r="E53" s="351">
        <v>0</v>
      </c>
      <c r="F53" s="174"/>
      <c r="G53" s="151">
        <f t="shared" si="1"/>
        <v>1.4022</v>
      </c>
      <c r="H53" s="168">
        <f t="shared" si="0"/>
        <v>0</v>
      </c>
      <c r="I53" s="168"/>
      <c r="K53" s="151" t="s">
        <v>173</v>
      </c>
      <c r="L53" s="187">
        <f>'School DATA'!D39</f>
        <v>1.057</v>
      </c>
      <c r="M53" s="187">
        <f>'School DATA'!E39</f>
        <v>0</v>
      </c>
      <c r="N53" s="187">
        <f>L53-M53</f>
        <v>1.057</v>
      </c>
      <c r="O53" s="188">
        <f>N53*0.01</f>
        <v>0.01057</v>
      </c>
    </row>
    <row r="54" spans="1:15" ht="15">
      <c r="A54" s="258"/>
      <c r="B54" s="257"/>
      <c r="C54" s="349" t="str">
        <f>'School DATA'!G22</f>
        <v>Visa £322 and NHS charge £150.00</v>
      </c>
      <c r="D54" s="350">
        <f>SUM('School DATA'!H22)</f>
        <v>472</v>
      </c>
      <c r="E54" s="351">
        <v>0</v>
      </c>
      <c r="F54" s="174"/>
      <c r="G54" s="151">
        <f t="shared" si="1"/>
        <v>1.4022</v>
      </c>
      <c r="H54" s="168">
        <f t="shared" si="0"/>
        <v>0</v>
      </c>
      <c r="I54" s="168"/>
      <c r="K54" s="151" t="s">
        <v>174</v>
      </c>
      <c r="L54" s="187">
        <f>'School DATA'!D40</f>
        <v>4.228</v>
      </c>
      <c r="M54" s="187">
        <f>'School DATA'!E40</f>
        <v>0</v>
      </c>
      <c r="N54" s="187">
        <f>L54-M54</f>
        <v>4.228</v>
      </c>
      <c r="O54" s="188">
        <f>N54*0.01</f>
        <v>0.04228</v>
      </c>
    </row>
    <row r="55" spans="1:9" ht="15">
      <c r="A55" s="258"/>
      <c r="B55" s="257"/>
      <c r="C55" s="349" t="str">
        <f>'School DATA'!G23</f>
        <v>Add any other essential costs - write here - only in £</v>
      </c>
      <c r="D55" s="350">
        <f>'School DATA'!H23</f>
        <v>0</v>
      </c>
      <c r="E55" s="351">
        <f>D55</f>
        <v>0</v>
      </c>
      <c r="F55" s="174"/>
      <c r="G55" s="151">
        <f t="shared" si="1"/>
        <v>1.4022</v>
      </c>
      <c r="H55" s="168">
        <f t="shared" si="0"/>
        <v>0</v>
      </c>
      <c r="I55" s="168"/>
    </row>
    <row r="56" spans="1:8" ht="15">
      <c r="A56" s="258"/>
      <c r="B56" s="257"/>
      <c r="C56" s="349" t="str">
        <f>'School DATA'!G24</f>
        <v>Add any other essential costs - write here - only in £</v>
      </c>
      <c r="D56" s="350">
        <f>'School DATA'!H24</f>
        <v>0</v>
      </c>
      <c r="E56" s="351">
        <f>D56</f>
        <v>0</v>
      </c>
      <c r="F56" s="174"/>
      <c r="G56" s="151">
        <f t="shared" si="1"/>
        <v>1.4022</v>
      </c>
      <c r="H56" s="168">
        <f t="shared" si="0"/>
        <v>0</v>
      </c>
    </row>
    <row r="57" spans="1:6" ht="15">
      <c r="A57" s="257"/>
      <c r="B57" s="257"/>
      <c r="C57" s="349" t="str">
        <f>'School DATA'!G25</f>
        <v>Add any other essential costs - write here - only in £</v>
      </c>
      <c r="D57" s="350">
        <f>'School DATA'!H25</f>
        <v>0</v>
      </c>
      <c r="E57" s="351">
        <f>D57</f>
        <v>0</v>
      </c>
      <c r="F57" s="182"/>
    </row>
    <row r="58" spans="1:14" ht="21.75" thickBot="1">
      <c r="A58" s="259"/>
      <c r="B58" s="78"/>
      <c r="C58" s="352"/>
      <c r="D58" s="353"/>
      <c r="E58" s="354"/>
      <c r="F58" s="189"/>
      <c r="G58" s="190"/>
      <c r="H58" s="140" t="s">
        <v>165</v>
      </c>
      <c r="J58" s="135"/>
      <c r="K58" s="173" t="s">
        <v>54</v>
      </c>
      <c r="L58" s="173" t="s">
        <v>55</v>
      </c>
      <c r="M58" s="140" t="s">
        <v>176</v>
      </c>
      <c r="N58" s="140" t="s">
        <v>171</v>
      </c>
    </row>
    <row r="59" spans="1:12" ht="21.75" thickBot="1">
      <c r="A59" s="345" t="s">
        <v>346</v>
      </c>
      <c r="B59" s="432" t="s">
        <v>269</v>
      </c>
      <c r="C59" s="432"/>
      <c r="D59" s="432"/>
      <c r="E59" s="433"/>
      <c r="F59" s="191"/>
      <c r="G59" s="192" t="s">
        <v>169</v>
      </c>
      <c r="H59" s="193" t="s">
        <v>27</v>
      </c>
      <c r="J59" s="151" t="s">
        <v>49</v>
      </c>
      <c r="K59" s="194">
        <f>H69</f>
        <v>0</v>
      </c>
      <c r="L59" s="194"/>
    </row>
    <row r="60" spans="1:58" s="138" customFormat="1" ht="21">
      <c r="A60" s="61"/>
      <c r="B60" s="61"/>
      <c r="C60" s="260" t="str">
        <f>G59</f>
        <v>Requested Cost of Attendance (Values rounded)</v>
      </c>
      <c r="D60" s="261" t="str">
        <f>H59</f>
        <v>$</v>
      </c>
      <c r="E60" s="262"/>
      <c r="F60" s="195"/>
      <c r="G60" s="196" t="s">
        <v>28</v>
      </c>
      <c r="H60" s="197">
        <f>ROUND(H32,0)</f>
        <v>0</v>
      </c>
      <c r="I60" s="198"/>
      <c r="J60" s="151" t="s">
        <v>50</v>
      </c>
      <c r="K60" s="194">
        <f>-D32</f>
        <v>0</v>
      </c>
      <c r="L60" s="194"/>
      <c r="M60" s="135"/>
      <c r="N60" s="151"/>
      <c r="O60" s="135"/>
      <c r="P60" s="135"/>
      <c r="Q60" s="136"/>
      <c r="R60" s="137"/>
      <c r="S60" s="137"/>
      <c r="T60" s="153"/>
      <c r="U60" s="137"/>
      <c r="V60" s="137"/>
      <c r="W60" s="137"/>
      <c r="X60" s="137"/>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row>
    <row r="61" spans="1:14" ht="15.75">
      <c r="A61" s="78"/>
      <c r="B61" s="78"/>
      <c r="C61" s="263" t="str">
        <f>G60</f>
        <v>Tuition Fees</v>
      </c>
      <c r="D61" s="264">
        <f>H60</f>
        <v>0</v>
      </c>
      <c r="E61" s="265"/>
      <c r="F61" s="195"/>
      <c r="G61" s="196" t="s">
        <v>29</v>
      </c>
      <c r="H61" s="197">
        <f>ROUND((IF(D27="N",I41,H41)),0)</f>
        <v>0</v>
      </c>
      <c r="I61" s="198"/>
      <c r="J61" s="151" t="s">
        <v>53</v>
      </c>
      <c r="K61" s="194">
        <f>IF((SUM(K59:K60)&gt;0),(SUM(K59:K60)),0)</f>
        <v>0</v>
      </c>
      <c r="L61" s="194"/>
      <c r="N61" s="194">
        <f>IF((K61&lt;K63),(K63-K61),0)</f>
        <v>0</v>
      </c>
    </row>
    <row r="62" spans="1:12" ht="15.75">
      <c r="A62" s="78"/>
      <c r="B62" s="78"/>
      <c r="C62" s="263" t="str">
        <f aca="true" t="shared" si="2" ref="C62:C80">G61</f>
        <v>Room</v>
      </c>
      <c r="D62" s="264">
        <f aca="true" t="shared" si="3" ref="D62:D70">H61</f>
        <v>0</v>
      </c>
      <c r="E62" s="265"/>
      <c r="F62" s="195"/>
      <c r="G62" s="196" t="s">
        <v>30</v>
      </c>
      <c r="H62" s="197">
        <f>ROUND((IF(D27="N",I42,H42)),0)</f>
        <v>0</v>
      </c>
      <c r="I62" s="198"/>
      <c r="J62" s="151" t="s">
        <v>170</v>
      </c>
      <c r="K62" s="194">
        <f>G28</f>
        <v>0</v>
      </c>
      <c r="L62" s="194"/>
    </row>
    <row r="63" spans="1:16" ht="15.75">
      <c r="A63" s="78"/>
      <c r="B63" s="78"/>
      <c r="C63" s="263" t="str">
        <f t="shared" si="2"/>
        <v>Board</v>
      </c>
      <c r="D63" s="264">
        <f t="shared" si="3"/>
        <v>0</v>
      </c>
      <c r="E63" s="265"/>
      <c r="F63" s="195"/>
      <c r="G63" s="196" t="s">
        <v>31</v>
      </c>
      <c r="H63" s="197">
        <f>ROUND((IF(D27="N",I43,H43)),0)</f>
        <v>0</v>
      </c>
      <c r="I63" s="198"/>
      <c r="J63" s="140" t="s">
        <v>51</v>
      </c>
      <c r="K63" s="199">
        <f>IF((((K61/(100-N52))*100)&lt;K62),((K61/(100-N52))*100),K62)</f>
        <v>0</v>
      </c>
      <c r="L63" s="194"/>
      <c r="M63" s="151">
        <f>IF((N61&gt;0),0,(K63*O52))</f>
        <v>0</v>
      </c>
      <c r="P63" s="194"/>
    </row>
    <row r="64" spans="1:12" ht="15.75">
      <c r="A64" s="78"/>
      <c r="B64" s="78"/>
      <c r="C64" s="263" t="str">
        <f t="shared" si="2"/>
        <v>Books</v>
      </c>
      <c r="D64" s="264">
        <f t="shared" si="3"/>
        <v>0</v>
      </c>
      <c r="E64" s="265"/>
      <c r="F64" s="195"/>
      <c r="G64" s="196" t="s">
        <v>32</v>
      </c>
      <c r="H64" s="197">
        <f>ROUND((IF(D27="N",I44,H44)),0)</f>
        <v>0</v>
      </c>
      <c r="I64" s="198"/>
      <c r="K64" s="194"/>
      <c r="L64" s="194"/>
    </row>
    <row r="65" spans="1:14" ht="15.75">
      <c r="A65" s="78"/>
      <c r="B65" s="78"/>
      <c r="C65" s="263" t="str">
        <f t="shared" si="2"/>
        <v>Travel</v>
      </c>
      <c r="D65" s="264">
        <f t="shared" si="3"/>
        <v>0</v>
      </c>
      <c r="E65" s="265"/>
      <c r="F65" s="195"/>
      <c r="G65" s="196" t="s">
        <v>2</v>
      </c>
      <c r="H65" s="197">
        <f>ROUND((IF(D27="N",I45,H45)),0)</f>
        <v>0</v>
      </c>
      <c r="I65" s="198"/>
      <c r="J65" s="151" t="s">
        <v>57</v>
      </c>
      <c r="K65" s="194"/>
      <c r="L65" s="194">
        <f>IF((N61&gt;0),(K59+N61-K63),(K59-K63+M63))</f>
        <v>0</v>
      </c>
      <c r="N65" s="194">
        <f>IF((((L67-L65)&gt;0)),(L67-L65),0)</f>
        <v>0</v>
      </c>
    </row>
    <row r="66" spans="1:12" ht="16.5" thickBot="1">
      <c r="A66" s="78"/>
      <c r="B66" s="78"/>
      <c r="C66" s="263" t="str">
        <f t="shared" si="2"/>
        <v>Personal</v>
      </c>
      <c r="D66" s="264">
        <f t="shared" si="3"/>
        <v>0</v>
      </c>
      <c r="E66" s="265"/>
      <c r="F66" s="195"/>
      <c r="G66" s="196" t="s">
        <v>39</v>
      </c>
      <c r="H66" s="200">
        <f>SUM(H50:H56)</f>
        <v>0</v>
      </c>
      <c r="I66" s="198"/>
      <c r="J66" s="151" t="s">
        <v>56</v>
      </c>
      <c r="K66" s="194"/>
      <c r="L66" s="194">
        <f>G28+I28-K63</f>
        <v>20500</v>
      </c>
    </row>
    <row r="67" spans="1:19" ht="15.75">
      <c r="A67" s="78"/>
      <c r="B67" s="78"/>
      <c r="C67" s="266" t="str">
        <f t="shared" si="2"/>
        <v>Other Essential Costs</v>
      </c>
      <c r="D67" s="267">
        <f t="shared" si="3"/>
        <v>0</v>
      </c>
      <c r="E67" s="265"/>
      <c r="F67" s="201"/>
      <c r="G67" s="202" t="s">
        <v>38</v>
      </c>
      <c r="H67" s="203">
        <f>SUM(H60:H66)</f>
        <v>0</v>
      </c>
      <c r="I67" s="204"/>
      <c r="J67" s="140" t="s">
        <v>52</v>
      </c>
      <c r="K67" s="199"/>
      <c r="L67" s="199">
        <f>IF((((L65/(100-N53))*100)&lt;L66),((L65/(100-N53))*100),L66)</f>
        <v>0</v>
      </c>
      <c r="M67" s="151">
        <f>+IF((N65&gt;0),0,(L67*O53))</f>
        <v>0</v>
      </c>
      <c r="Q67" s="142"/>
      <c r="R67" s="143"/>
      <c r="S67" s="143"/>
    </row>
    <row r="68" spans="1:12" ht="15.75">
      <c r="A68" s="66"/>
      <c r="B68" s="66"/>
      <c r="C68" s="268" t="str">
        <f t="shared" si="2"/>
        <v>Total Cost of Attendance</v>
      </c>
      <c r="D68" s="269">
        <f t="shared" si="3"/>
        <v>0</v>
      </c>
      <c r="E68" s="270"/>
      <c r="F68" s="195"/>
      <c r="G68" s="196" t="s">
        <v>60</v>
      </c>
      <c r="H68" s="197">
        <f>ROUND((-I37),0)</f>
        <v>0</v>
      </c>
      <c r="I68" s="198"/>
      <c r="K68" s="194"/>
      <c r="L68" s="194"/>
    </row>
    <row r="69" spans="1:58" s="144" customFormat="1" ht="16.5" thickBot="1">
      <c r="A69" s="78"/>
      <c r="B69" s="78"/>
      <c r="C69" s="263" t="str">
        <f t="shared" si="2"/>
        <v>Adjust for Sponsorship, Awards or other Aid</v>
      </c>
      <c r="D69" s="264">
        <f t="shared" si="3"/>
        <v>0</v>
      </c>
      <c r="E69" s="265"/>
      <c r="F69" s="195"/>
      <c r="G69" s="205" t="s">
        <v>81</v>
      </c>
      <c r="H69" s="206">
        <f>ROUND((SUM(H67:H68)),0)</f>
        <v>0</v>
      </c>
      <c r="I69" s="198"/>
      <c r="J69" s="140" t="s">
        <v>166</v>
      </c>
      <c r="K69" s="194"/>
      <c r="L69" s="194"/>
      <c r="M69" s="140"/>
      <c r="N69" s="173"/>
      <c r="O69" s="140"/>
      <c r="P69" s="140"/>
      <c r="Q69" s="152"/>
      <c r="R69" s="153"/>
      <c r="S69" s="153"/>
      <c r="T69" s="143"/>
      <c r="U69" s="143"/>
      <c r="V69" s="143"/>
      <c r="W69" s="143"/>
      <c r="X69" s="14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spans="1:15" ht="17.25" thickBot="1" thickTop="1">
      <c r="A70" s="271">
        <f>IF((D38="Private Loan"),"Private loan requested","")</f>
      </c>
      <c r="B70" s="78"/>
      <c r="C70" s="272" t="str">
        <f>G69</f>
        <v>Total Requested Cost of Attendance</v>
      </c>
      <c r="D70" s="273">
        <f t="shared" si="3"/>
        <v>0</v>
      </c>
      <c r="E70" s="265"/>
      <c r="F70" s="195"/>
      <c r="G70" s="198"/>
      <c r="H70" s="207"/>
      <c r="I70" s="198"/>
      <c r="J70" s="151" t="s">
        <v>167</v>
      </c>
      <c r="K70" s="194">
        <f>IF((N65=0),(K59-K63-L67+M63+M67),0)</f>
        <v>0</v>
      </c>
      <c r="L70" s="194"/>
      <c r="M70" s="208"/>
      <c r="N70" s="208"/>
      <c r="O70" s="140"/>
    </row>
    <row r="71" spans="1:15" ht="19.5" thickTop="1">
      <c r="A71" s="78"/>
      <c r="B71" s="78"/>
      <c r="C71" s="274"/>
      <c r="D71" s="264"/>
      <c r="E71" s="265"/>
      <c r="F71" s="195"/>
      <c r="G71" s="198"/>
      <c r="H71" s="207"/>
      <c r="I71" s="198"/>
      <c r="K71" s="194"/>
      <c r="L71" s="194"/>
      <c r="M71" s="208"/>
      <c r="N71" s="208"/>
      <c r="O71" s="140"/>
    </row>
    <row r="72" spans="1:15" ht="18.75">
      <c r="A72" s="78"/>
      <c r="B72" s="78"/>
      <c r="C72" s="274" t="str">
        <f>IF((D38=G12),"Maximum Private (Sallie Mae) loan we will certify is"," ")</f>
        <v> </v>
      </c>
      <c r="D72" s="275" t="str">
        <f>IF((D38=G12),D80," ")</f>
        <v> </v>
      </c>
      <c r="E72" s="265"/>
      <c r="F72" s="195"/>
      <c r="G72" s="198"/>
      <c r="H72" s="207"/>
      <c r="I72" s="198"/>
      <c r="K72" s="194"/>
      <c r="L72" s="194"/>
      <c r="M72" s="208"/>
      <c r="N72" s="208"/>
      <c r="O72" s="140"/>
    </row>
    <row r="73" spans="1:12" ht="21">
      <c r="A73" s="78"/>
      <c r="B73" s="78"/>
      <c r="C73" s="274" t="str">
        <f>IF((D38=G12),"As you said (in cell D38) that you are seeking a Sallie Mae loan there is no need to complete anything below this line."," ")</f>
        <v> </v>
      </c>
      <c r="D73" s="264"/>
      <c r="E73" s="265"/>
      <c r="F73" s="195"/>
      <c r="G73" s="209" t="s">
        <v>302</v>
      </c>
      <c r="H73" s="210" t="s">
        <v>27</v>
      </c>
      <c r="I73" s="198"/>
      <c r="J73" s="151" t="s">
        <v>168</v>
      </c>
      <c r="K73" s="194">
        <f>H5-K63-L67</f>
        <v>101570</v>
      </c>
      <c r="L73" s="194"/>
    </row>
    <row r="74" spans="1:12" ht="21">
      <c r="A74" s="78"/>
      <c r="B74" s="78"/>
      <c r="C74" s="274"/>
      <c r="D74" s="264"/>
      <c r="E74" s="265"/>
      <c r="F74" s="195"/>
      <c r="G74" s="209" t="s">
        <v>316</v>
      </c>
      <c r="H74" s="210"/>
      <c r="I74" s="198"/>
      <c r="K74" s="194"/>
      <c r="L74" s="194"/>
    </row>
    <row r="75" spans="1:14" ht="21">
      <c r="A75" s="78"/>
      <c r="B75" s="78"/>
      <c r="C75" s="276" t="str">
        <f>IF((D38=G12),G74,G73)</f>
        <v>Maximum Govt. Loan you can borrow</v>
      </c>
      <c r="D75" s="264"/>
      <c r="E75" s="265"/>
      <c r="F75" s="195"/>
      <c r="G75" s="196" t="s">
        <v>59</v>
      </c>
      <c r="H75" s="207">
        <f>K63</f>
        <v>0</v>
      </c>
      <c r="I75" s="198"/>
      <c r="J75" s="140" t="s">
        <v>58</v>
      </c>
      <c r="K75" s="199">
        <f>IF((((K70/(100-N54)*100))&lt;K73),((K70/(100-N54)*100)),(((K73+M63+M67)/(100-N54))*100))</f>
        <v>0</v>
      </c>
      <c r="L75" s="194"/>
      <c r="M75" s="211"/>
      <c r="N75" s="211"/>
    </row>
    <row r="76" spans="1:16" ht="15.75">
      <c r="A76" s="78"/>
      <c r="B76" s="78"/>
      <c r="C76" s="263" t="str">
        <f>IF((D27="N"),L28,G75)</f>
        <v>From July 2012 there is no Subsidised Loan for postgraduates</v>
      </c>
      <c r="D76" s="264">
        <f>H75</f>
        <v>0</v>
      </c>
      <c r="E76" s="265">
        <f>IF((N61&gt;0),"Grossed up for fees","")</f>
      </c>
      <c r="F76" s="195"/>
      <c r="G76" s="196" t="s">
        <v>37</v>
      </c>
      <c r="H76" s="207">
        <f>L67</f>
        <v>0</v>
      </c>
      <c r="I76" s="198"/>
      <c r="L76" s="194"/>
      <c r="M76" s="212"/>
      <c r="N76" s="213"/>
      <c r="P76" s="194"/>
    </row>
    <row r="77" spans="1:16" ht="15.75">
      <c r="A77" s="78"/>
      <c r="B77" s="78"/>
      <c r="C77" s="263" t="str">
        <f t="shared" si="2"/>
        <v>Unsubsudised</v>
      </c>
      <c r="D77" s="264">
        <f>H76</f>
        <v>0</v>
      </c>
      <c r="E77" s="265">
        <f>IF((N65&gt;0),"Grossed up for fees","")</f>
      </c>
      <c r="F77" s="195"/>
      <c r="G77" s="196">
        <f>IF((J78=2),K78,(IF((H69&gt;H5),"PLUS Loan to fulfil this CoA","")))</f>
      </c>
      <c r="I77" s="151">
        <f>IF((K73&lt;K70),K70,"")</f>
      </c>
      <c r="J77" s="140" t="s">
        <v>308</v>
      </c>
      <c r="M77" s="212"/>
      <c r="N77" s="213"/>
      <c r="P77" s="194"/>
    </row>
    <row r="78" spans="1:14" ht="12.75">
      <c r="A78" s="78"/>
      <c r="B78" s="78"/>
      <c r="C78" s="263">
        <f t="shared" si="2"/>
      </c>
      <c r="D78" s="264"/>
      <c r="E78" s="264">
        <f>I77</f>
      </c>
      <c r="G78" s="196" t="str">
        <f>IF((J78=2),"","Maximum PLUS Loan allowed for this CoA")</f>
        <v>Maximum PLUS Loan allowed for this CoA</v>
      </c>
      <c r="H78" s="214">
        <f>IF((J78=2),"",(IF((K70&lt;K73),(K70-M67-M63),K73)))</f>
        <v>0</v>
      </c>
      <c r="I78" s="198"/>
      <c r="J78" s="151">
        <f>(IF((D27="Y"),1,0))+(IF((D31="I"),1,0))</f>
        <v>0</v>
      </c>
      <c r="K78" s="151" t="s">
        <v>315</v>
      </c>
      <c r="M78" s="212"/>
      <c r="N78" s="211"/>
    </row>
    <row r="79" spans="1:14" ht="16.5" thickBot="1">
      <c r="A79" s="277"/>
      <c r="B79" s="277"/>
      <c r="C79" s="263" t="str">
        <f t="shared" si="2"/>
        <v>Maximum PLUS Loan allowed for this CoA</v>
      </c>
      <c r="D79" s="264">
        <f>H78</f>
        <v>0</v>
      </c>
      <c r="E79" s="81"/>
      <c r="F79" s="195"/>
      <c r="G79" s="205" t="s">
        <v>160</v>
      </c>
      <c r="H79" s="215">
        <f>SUM(H75:H78)</f>
        <v>0</v>
      </c>
      <c r="I79" s="198"/>
      <c r="M79" s="212"/>
      <c r="N79" s="213"/>
    </row>
    <row r="80" spans="1:14" ht="17.25" thickBot="1" thickTop="1">
      <c r="A80" s="78"/>
      <c r="B80" s="78"/>
      <c r="C80" s="272" t="str">
        <f t="shared" si="2"/>
        <v>Total Eligible before adjustment for Fees</v>
      </c>
      <c r="D80" s="273">
        <f>H79</f>
        <v>0</v>
      </c>
      <c r="E80" s="265"/>
      <c r="F80" s="195"/>
      <c r="G80" s="216"/>
      <c r="H80" s="217"/>
      <c r="M80" s="212"/>
      <c r="N80" s="213"/>
    </row>
    <row r="81" spans="1:17" ht="20.25" thickBot="1" thickTop="1">
      <c r="A81" s="78"/>
      <c r="B81" s="78"/>
      <c r="C81" s="154"/>
      <c r="D81" s="265"/>
      <c r="E81" s="265"/>
      <c r="F81" s="218"/>
      <c r="G81" s="219"/>
      <c r="J81" s="216"/>
      <c r="K81" s="216"/>
      <c r="L81" s="216"/>
      <c r="M81" s="216"/>
      <c r="N81" s="216"/>
      <c r="O81" s="216"/>
      <c r="P81" s="216"/>
      <c r="Q81" s="220"/>
    </row>
    <row r="82" spans="1:58" s="225" customFormat="1" ht="18.75">
      <c r="A82" s="385" t="s">
        <v>347</v>
      </c>
      <c r="B82" s="395"/>
      <c r="C82" s="396" t="s">
        <v>155</v>
      </c>
      <c r="D82" s="397"/>
      <c r="E82" s="356"/>
      <c r="F82" s="218"/>
      <c r="G82" s="219"/>
      <c r="H82" s="216" t="s">
        <v>63</v>
      </c>
      <c r="I82" s="221" t="s">
        <v>78</v>
      </c>
      <c r="J82" s="219"/>
      <c r="K82" s="219"/>
      <c r="L82" s="219"/>
      <c r="M82" s="219"/>
      <c r="N82" s="219"/>
      <c r="O82" s="219"/>
      <c r="P82" s="219"/>
      <c r="Q82" s="222"/>
      <c r="R82" s="223"/>
      <c r="S82" s="223"/>
      <c r="T82" s="223"/>
      <c r="U82" s="223"/>
      <c r="V82" s="223"/>
      <c r="W82" s="223"/>
      <c r="X82" s="223"/>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row>
    <row r="83" spans="1:58" s="228" customFormat="1" ht="18.75">
      <c r="A83" s="417"/>
      <c r="B83" s="418"/>
      <c r="C83" s="419" t="str">
        <f>IF(H67&gt;H5,I82,"  ")</f>
        <v>  </v>
      </c>
      <c r="D83" s="420"/>
      <c r="E83" s="421"/>
      <c r="F83" s="218"/>
      <c r="G83" s="219"/>
      <c r="H83" s="216" t="s">
        <v>64</v>
      </c>
      <c r="I83" s="221" t="s">
        <v>98</v>
      </c>
      <c r="J83" s="219"/>
      <c r="K83" s="219"/>
      <c r="L83" s="219"/>
      <c r="M83" s="219"/>
      <c r="N83" s="219"/>
      <c r="O83" s="219"/>
      <c r="P83" s="219"/>
      <c r="Q83" s="222"/>
      <c r="R83" s="226"/>
      <c r="S83" s="226"/>
      <c r="T83" s="226"/>
      <c r="U83" s="226"/>
      <c r="V83" s="226"/>
      <c r="W83" s="226"/>
      <c r="X83" s="226"/>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row>
    <row r="84" spans="1:58" s="237" customFormat="1" ht="19.5" thickBot="1">
      <c r="A84" s="422"/>
      <c r="B84" s="423"/>
      <c r="C84" s="424" t="str">
        <f>IF(H67&gt;H5,I83,I84)</f>
        <v>You are allowed to borrow up to the values above</v>
      </c>
      <c r="D84" s="425"/>
      <c r="E84" s="426"/>
      <c r="F84" s="229"/>
      <c r="G84" s="230"/>
      <c r="H84" s="231" t="s">
        <v>62</v>
      </c>
      <c r="I84" s="232" t="s">
        <v>82</v>
      </c>
      <c r="J84" s="233"/>
      <c r="K84" s="233"/>
      <c r="L84" s="233"/>
      <c r="M84" s="233"/>
      <c r="N84" s="233"/>
      <c r="O84" s="233"/>
      <c r="P84" s="233"/>
      <c r="Q84" s="234"/>
      <c r="R84" s="235"/>
      <c r="S84" s="235"/>
      <c r="T84" s="235"/>
      <c r="U84" s="235"/>
      <c r="V84" s="235"/>
      <c r="W84" s="235"/>
      <c r="X84" s="235"/>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row>
    <row r="85" spans="1:58" s="237" customFormat="1" ht="19.5" thickBot="1">
      <c r="A85" s="85"/>
      <c r="B85" s="85"/>
      <c r="C85" s="86"/>
      <c r="D85" s="87"/>
      <c r="E85" s="87"/>
      <c r="F85" s="238"/>
      <c r="G85" s="230"/>
      <c r="H85" s="233"/>
      <c r="I85" s="233"/>
      <c r="J85" s="230"/>
      <c r="K85" s="230"/>
      <c r="L85" s="230"/>
      <c r="M85" s="230"/>
      <c r="N85" s="230"/>
      <c r="O85" s="230"/>
      <c r="P85" s="230"/>
      <c r="Q85" s="239"/>
      <c r="R85" s="235"/>
      <c r="S85" s="235"/>
      <c r="T85" s="235"/>
      <c r="U85" s="235"/>
      <c r="V85" s="235"/>
      <c r="W85" s="235"/>
      <c r="X85" s="235"/>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row>
    <row r="86" spans="1:58" s="86" customFormat="1" ht="52.5" customHeight="1" thickBot="1">
      <c r="A86" s="393" t="s">
        <v>348</v>
      </c>
      <c r="B86" s="393"/>
      <c r="C86" s="394" t="str">
        <f>IF((D38=G12),"THIS SECTION DOES NOT APPLY TO SALLIE MAE LOANS","YOU TELL US HOW MUCH WOULD YOU LIKE TO BORROW - YOU MAY REDUCE THE FIGURES IN BLUE")</f>
        <v>YOU TELL US HOW MUCH WOULD YOU LIKE TO BORROW - YOU MAY REDUCE THE FIGURES IN BLUE</v>
      </c>
      <c r="D86" s="391"/>
      <c r="E86" s="392"/>
      <c r="F86" s="240"/>
      <c r="G86" s="241" t="s">
        <v>129</v>
      </c>
      <c r="H86" s="242" t="s">
        <v>99</v>
      </c>
      <c r="I86" s="230"/>
      <c r="J86" s="230"/>
      <c r="K86" s="230"/>
      <c r="L86" s="233"/>
      <c r="M86" s="233"/>
      <c r="N86" s="233"/>
      <c r="O86" s="230"/>
      <c r="P86" s="230"/>
      <c r="Q86" s="239"/>
      <c r="R86" s="243"/>
      <c r="S86" s="243"/>
      <c r="T86" s="243"/>
      <c r="U86" s="243"/>
      <c r="V86" s="243"/>
      <c r="W86" s="243"/>
      <c r="X86" s="243"/>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row>
    <row r="87" spans="1:58" s="86" customFormat="1" ht="48" thickBot="1">
      <c r="A87" s="369" t="s">
        <v>129</v>
      </c>
      <c r="B87" s="370" t="s">
        <v>154</v>
      </c>
      <c r="C87" s="371" t="s">
        <v>179</v>
      </c>
      <c r="D87" s="370" t="s">
        <v>311</v>
      </c>
      <c r="E87" s="372" t="s">
        <v>99</v>
      </c>
      <c r="F87" s="245"/>
      <c r="G87" s="246">
        <f>ROUND(K63,0)</f>
        <v>0</v>
      </c>
      <c r="H87" s="247">
        <f>ROUND(((G87*(1-O52))),0)</f>
        <v>0</v>
      </c>
      <c r="I87" s="230"/>
      <c r="J87" s="230"/>
      <c r="K87" s="230"/>
      <c r="L87" s="230"/>
      <c r="M87" s="230"/>
      <c r="N87" s="230"/>
      <c r="O87" s="230"/>
      <c r="P87" s="230"/>
      <c r="Q87" s="239"/>
      <c r="R87" s="243"/>
      <c r="S87" s="243"/>
      <c r="T87" s="243"/>
      <c r="U87" s="243"/>
      <c r="V87" s="243"/>
      <c r="W87" s="243"/>
      <c r="X87" s="243"/>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row>
    <row r="88" spans="1:58" s="86" customFormat="1" ht="15.75">
      <c r="A88" s="428">
        <f>IF((D38=G12),0,G87)</f>
        <v>0</v>
      </c>
      <c r="B88" s="373">
        <f>O52</f>
        <v>0.01057</v>
      </c>
      <c r="C88" s="374" t="str">
        <f>C76</f>
        <v>From July 2012 there is no Subsidised Loan for postgraduates</v>
      </c>
      <c r="D88" s="375">
        <v>0</v>
      </c>
      <c r="E88" s="376">
        <f>ROUND(((D88*(1-O52))),0)</f>
        <v>0</v>
      </c>
      <c r="F88" s="245"/>
      <c r="G88" s="246">
        <f>ROUND(L67,0)</f>
        <v>0</v>
      </c>
      <c r="H88" s="247">
        <f>ROUND(((G88*(1-O53))),0)</f>
        <v>0</v>
      </c>
      <c r="I88" s="230"/>
      <c r="J88" s="230"/>
      <c r="K88" s="230"/>
      <c r="L88" s="230"/>
      <c r="M88" s="230"/>
      <c r="N88" s="230"/>
      <c r="O88" s="230"/>
      <c r="P88" s="230"/>
      <c r="Q88" s="239"/>
      <c r="R88" s="243"/>
      <c r="S88" s="243"/>
      <c r="T88" s="243"/>
      <c r="U88" s="243"/>
      <c r="V88" s="243"/>
      <c r="W88" s="243"/>
      <c r="X88" s="243"/>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row>
    <row r="89" spans="1:58" s="86" customFormat="1" ht="15.75">
      <c r="A89" s="429">
        <f>IF((D38=G12),0,G88)</f>
        <v>0</v>
      </c>
      <c r="B89" s="377">
        <f>O53</f>
        <v>0.01057</v>
      </c>
      <c r="C89" s="378" t="s">
        <v>37</v>
      </c>
      <c r="D89" s="379">
        <v>0</v>
      </c>
      <c r="E89" s="380">
        <f>ROUND(((D89*(1-O53))),0)</f>
        <v>0</v>
      </c>
      <c r="F89" s="245"/>
      <c r="G89" s="246">
        <f>IF((J78=2),"",(ROUND(K75,0)))</f>
        <v>0</v>
      </c>
      <c r="H89" s="247">
        <f>ROUND(((G89*(1-O54))),0)</f>
        <v>0</v>
      </c>
      <c r="I89" s="230"/>
      <c r="J89" s="230"/>
      <c r="K89" s="230"/>
      <c r="L89" s="230"/>
      <c r="M89" s="230"/>
      <c r="N89" s="230"/>
      <c r="O89" s="230"/>
      <c r="P89" s="230"/>
      <c r="Q89" s="239"/>
      <c r="R89" s="248"/>
      <c r="S89" s="243"/>
      <c r="T89" s="243"/>
      <c r="U89" s="243"/>
      <c r="V89" s="243"/>
      <c r="W89" s="243"/>
      <c r="X89" s="243"/>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row>
    <row r="90" spans="1:58" s="86" customFormat="1" ht="16.5" thickBot="1">
      <c r="A90" s="429">
        <f>IF((D38=G12),0,G89)</f>
        <v>0</v>
      </c>
      <c r="B90" s="377">
        <f>O54</f>
        <v>0.04228</v>
      </c>
      <c r="C90" s="378" t="str">
        <f>IF((J78=2),K78,"PLUS Loan (Adjusted up to include all fees)")</f>
        <v>PLUS Loan (Adjusted up to include all fees)</v>
      </c>
      <c r="D90" s="379">
        <v>0</v>
      </c>
      <c r="E90" s="380">
        <f>ROUND(((D90*(1-O54))),0)</f>
        <v>0</v>
      </c>
      <c r="F90" s="238"/>
      <c r="G90" s="249">
        <f>SUM(G87:G89)</f>
        <v>0</v>
      </c>
      <c r="H90" s="250">
        <f>SUM(H87:H89)</f>
        <v>0</v>
      </c>
      <c r="I90" s="230"/>
      <c r="J90" s="230"/>
      <c r="K90" s="230"/>
      <c r="L90" s="230"/>
      <c r="M90" s="230"/>
      <c r="N90" s="230"/>
      <c r="O90" s="230"/>
      <c r="P90" s="251"/>
      <c r="Q90" s="252"/>
      <c r="R90" s="243"/>
      <c r="S90" s="243"/>
      <c r="T90" s="243"/>
      <c r="U90" s="243"/>
      <c r="V90" s="243"/>
      <c r="W90" s="243"/>
      <c r="X90" s="243"/>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row>
    <row r="91" spans="1:58" s="86" customFormat="1" ht="20.25" thickBot="1" thickTop="1">
      <c r="A91" s="430">
        <f>IF((D38=G12),0,G90)</f>
        <v>0</v>
      </c>
      <c r="B91" s="381"/>
      <c r="C91" s="382" t="s">
        <v>152</v>
      </c>
      <c r="D91" s="383">
        <f>SUM(D88:D90)</f>
        <v>0</v>
      </c>
      <c r="E91" s="384">
        <f>SUM(E88:E90)</f>
        <v>0</v>
      </c>
      <c r="F91" s="253"/>
      <c r="G91" s="230"/>
      <c r="H91" s="231" t="s">
        <v>83</v>
      </c>
      <c r="I91" s="254" t="s">
        <v>85</v>
      </c>
      <c r="J91" s="230"/>
      <c r="K91" s="230"/>
      <c r="L91" s="230"/>
      <c r="M91" s="230"/>
      <c r="N91" s="230"/>
      <c r="O91" s="230"/>
      <c r="P91" s="230"/>
      <c r="Q91" s="255"/>
      <c r="R91" s="243"/>
      <c r="S91" s="243"/>
      <c r="T91" s="243"/>
      <c r="U91" s="243"/>
      <c r="V91" s="243"/>
      <c r="W91" s="243"/>
      <c r="X91" s="243"/>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row>
    <row r="92" spans="1:58" s="86" customFormat="1" ht="18.75">
      <c r="A92" s="398" t="s">
        <v>352</v>
      </c>
      <c r="B92" s="399"/>
      <c r="C92" s="400" t="str">
        <f>IF((D91&lt;(H5*1.04)),I91,I93)</f>
        <v>We will check everything you have provided with the USDE data and regulations</v>
      </c>
      <c r="D92" s="401"/>
      <c r="E92" s="402"/>
      <c r="F92" s="253"/>
      <c r="G92" s="230"/>
      <c r="H92" s="231" t="s">
        <v>84</v>
      </c>
      <c r="I92" s="254" t="s">
        <v>97</v>
      </c>
      <c r="J92" s="230"/>
      <c r="K92" s="230"/>
      <c r="L92" s="230"/>
      <c r="M92" s="230"/>
      <c r="N92" s="230"/>
      <c r="O92" s="230"/>
      <c r="P92" s="230"/>
      <c r="Q92" s="239"/>
      <c r="R92" s="243"/>
      <c r="S92" s="243"/>
      <c r="T92" s="243"/>
      <c r="U92" s="243"/>
      <c r="V92" s="243"/>
      <c r="W92" s="243"/>
      <c r="X92" s="243"/>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row>
    <row r="93" spans="1:58" s="86" customFormat="1" ht="19.5" thickBot="1">
      <c r="A93" s="403"/>
      <c r="B93" s="404"/>
      <c r="C93" s="405" t="str">
        <f>IF((D91&lt;(H5*1.04)),I92,I94)</f>
        <v>If everything is correct we will originate your loans and issue a certificate for visa application</v>
      </c>
      <c r="D93" s="406"/>
      <c r="E93" s="407"/>
      <c r="F93" s="253"/>
      <c r="G93" s="230"/>
      <c r="H93" s="231" t="s">
        <v>63</v>
      </c>
      <c r="I93" s="256" t="s">
        <v>86</v>
      </c>
      <c r="J93" s="230"/>
      <c r="K93" s="230"/>
      <c r="L93" s="230"/>
      <c r="M93" s="230"/>
      <c r="N93" s="230"/>
      <c r="O93" s="230"/>
      <c r="P93" s="230"/>
      <c r="Q93" s="239"/>
      <c r="R93" s="243"/>
      <c r="S93" s="243"/>
      <c r="T93" s="243"/>
      <c r="U93" s="243"/>
      <c r="V93" s="243"/>
      <c r="W93" s="243"/>
      <c r="X93" s="243"/>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row>
    <row r="94" spans="1:58" s="86" customFormat="1" ht="16.5" thickBot="1">
      <c r="A94" s="363"/>
      <c r="B94" s="364"/>
      <c r="C94" s="365"/>
      <c r="D94" s="362"/>
      <c r="E94" s="362"/>
      <c r="F94" s="253"/>
      <c r="G94" s="230"/>
      <c r="H94" s="231" t="s">
        <v>64</v>
      </c>
      <c r="I94" s="230"/>
      <c r="J94" s="230"/>
      <c r="K94" s="230"/>
      <c r="L94" s="230"/>
      <c r="M94" s="230"/>
      <c r="N94" s="230"/>
      <c r="O94" s="230"/>
      <c r="P94" s="230"/>
      <c r="Q94" s="239"/>
      <c r="R94" s="243"/>
      <c r="S94" s="243"/>
      <c r="T94" s="243"/>
      <c r="U94" s="243"/>
      <c r="V94" s="243"/>
      <c r="W94" s="243"/>
      <c r="X94" s="243"/>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row>
    <row r="95" spans="1:58" s="86" customFormat="1" ht="36.75" thickBot="1">
      <c r="A95" s="408" t="s">
        <v>353</v>
      </c>
      <c r="B95" s="366">
        <f>B88</f>
        <v>0.01057</v>
      </c>
      <c r="C95" s="367" t="str">
        <f>C88&amp;" Origination Fee of "&amp;L52&amp;"% less Interest Rebate of "&amp;M52&amp;"%"</f>
        <v>From July 2012 there is no Subsidised Loan for postgraduates Origination Fee of 1.057% less Interest Rebate of 0%</v>
      </c>
      <c r="D95" s="362"/>
      <c r="E95" s="368"/>
      <c r="F95" s="253"/>
      <c r="G95" s="230"/>
      <c r="H95" s="230"/>
      <c r="I95" s="230"/>
      <c r="J95" s="230"/>
      <c r="K95" s="230"/>
      <c r="L95" s="230"/>
      <c r="M95" s="230"/>
      <c r="N95" s="230"/>
      <c r="O95" s="230"/>
      <c r="P95" s="230"/>
      <c r="Q95" s="239"/>
      <c r="R95" s="243"/>
      <c r="S95" s="243"/>
      <c r="T95" s="243"/>
      <c r="U95" s="243"/>
      <c r="V95" s="243"/>
      <c r="W95" s="243"/>
      <c r="X95" s="243"/>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row>
    <row r="96" spans="1:58" s="86" customFormat="1" ht="15">
      <c r="A96" s="363"/>
      <c r="B96" s="366">
        <f>B89</f>
        <v>0.01057</v>
      </c>
      <c r="C96" s="367" t="str">
        <f>C89&amp;" Origination Fee of "&amp;L53&amp;"% less Interest Rebate of "&amp;M53&amp;"%"</f>
        <v>Unsubsudised Origination Fee of 1.057% less Interest Rebate of 0%</v>
      </c>
      <c r="D96" s="362"/>
      <c r="E96" s="362"/>
      <c r="F96" s="253"/>
      <c r="G96" s="230"/>
      <c r="H96" s="230"/>
      <c r="I96" s="230"/>
      <c r="J96" s="230"/>
      <c r="K96" s="230"/>
      <c r="L96" s="230"/>
      <c r="M96" s="230"/>
      <c r="N96" s="230"/>
      <c r="O96" s="230"/>
      <c r="P96" s="230"/>
      <c r="Q96" s="239"/>
      <c r="R96" s="243"/>
      <c r="S96" s="243"/>
      <c r="T96" s="243"/>
      <c r="U96" s="243"/>
      <c r="V96" s="243"/>
      <c r="W96" s="243"/>
      <c r="X96" s="243"/>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row>
    <row r="97" spans="1:58" s="86" customFormat="1" ht="15">
      <c r="A97" s="364"/>
      <c r="B97" s="366">
        <v>0.04228</v>
      </c>
      <c r="C97" s="367" t="str">
        <f>C90&amp;" Origination Fee of "&amp;L54&amp;"% less Interest Rebate of "&amp;M54&amp;"%"</f>
        <v>PLUS Loan (Adjusted up to include all fees) Origination Fee of 4.228% less Interest Rebate of 0%</v>
      </c>
      <c r="D97" s="362"/>
      <c r="E97" s="362"/>
      <c r="F97" s="253"/>
      <c r="G97" s="230"/>
      <c r="H97" s="230"/>
      <c r="I97" s="230"/>
      <c r="J97" s="230"/>
      <c r="K97" s="230"/>
      <c r="L97" s="230"/>
      <c r="M97" s="230"/>
      <c r="N97" s="230"/>
      <c r="O97" s="230"/>
      <c r="P97" s="230"/>
      <c r="Q97" s="239"/>
      <c r="R97" s="243"/>
      <c r="S97" s="243"/>
      <c r="T97" s="243"/>
      <c r="U97" s="243"/>
      <c r="V97" s="243"/>
      <c r="W97" s="243"/>
      <c r="X97" s="243"/>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row>
    <row r="98" spans="1:58" s="86" customFormat="1" ht="15.75">
      <c r="A98" s="364"/>
      <c r="B98" s="360"/>
      <c r="C98" s="361"/>
      <c r="D98" s="362"/>
      <c r="E98" s="362"/>
      <c r="F98" s="253"/>
      <c r="G98" s="230"/>
      <c r="H98" s="230"/>
      <c r="I98" s="230"/>
      <c r="J98" s="230"/>
      <c r="K98" s="230"/>
      <c r="L98" s="230"/>
      <c r="M98" s="230"/>
      <c r="N98" s="230"/>
      <c r="O98" s="230"/>
      <c r="P98" s="230"/>
      <c r="Q98" s="239"/>
      <c r="R98" s="243"/>
      <c r="S98" s="243"/>
      <c r="T98" s="243"/>
      <c r="U98" s="243"/>
      <c r="V98" s="243"/>
      <c r="W98" s="243"/>
      <c r="X98" s="243"/>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row>
    <row r="99" spans="1:5" ht="15.75">
      <c r="A99" s="364"/>
      <c r="B99" s="364"/>
      <c r="C99" s="361"/>
      <c r="D99" s="362"/>
      <c r="E99" s="362"/>
    </row>
    <row r="100" spans="1:5" ht="12.75">
      <c r="A100" s="277"/>
      <c r="B100" s="277"/>
      <c r="C100" s="154"/>
      <c r="D100" s="81"/>
      <c r="E100" s="81"/>
    </row>
    <row r="101" spans="1:5" ht="12.75">
      <c r="A101" s="278"/>
      <c r="B101" s="277"/>
      <c r="C101" s="154"/>
      <c r="D101" s="81"/>
      <c r="E101" s="81"/>
    </row>
    <row r="102" spans="1:5" ht="12.75">
      <c r="A102" s="278"/>
      <c r="B102" s="277"/>
      <c r="C102" s="154"/>
      <c r="D102" s="81"/>
      <c r="E102" s="81"/>
    </row>
    <row r="103" spans="1:5" ht="12.75">
      <c r="A103" s="277"/>
      <c r="B103" s="277"/>
      <c r="C103" s="154"/>
      <c r="D103" s="81"/>
      <c r="E103" s="81"/>
    </row>
    <row r="104" spans="1:5" ht="12.75">
      <c r="A104" s="277"/>
      <c r="B104" s="277"/>
      <c r="C104" s="154"/>
      <c r="D104" s="81"/>
      <c r="E104" s="81"/>
    </row>
    <row r="105" spans="1:5" ht="12.75">
      <c r="A105" s="277"/>
      <c r="B105" s="277"/>
      <c r="C105" s="154"/>
      <c r="D105" s="81"/>
      <c r="E105" s="81"/>
    </row>
    <row r="106" spans="1:5" ht="12.75">
      <c r="A106" s="277"/>
      <c r="B106" s="277"/>
      <c r="C106" s="154"/>
      <c r="D106" s="81"/>
      <c r="E106" s="81"/>
    </row>
    <row r="107" spans="1:5" ht="12.75">
      <c r="A107" s="277"/>
      <c r="B107" s="277"/>
      <c r="C107" s="154"/>
      <c r="D107" s="81"/>
      <c r="E107" s="81"/>
    </row>
    <row r="108" spans="1:5" ht="12.75">
      <c r="A108" s="277"/>
      <c r="B108" s="277"/>
      <c r="C108" s="154"/>
      <c r="D108" s="81"/>
      <c r="E108" s="81"/>
    </row>
    <row r="109" spans="1:5" ht="12.75">
      <c r="A109" s="277"/>
      <c r="B109" s="277"/>
      <c r="C109" s="154"/>
      <c r="D109" s="81"/>
      <c r="E109" s="81"/>
    </row>
    <row r="110" spans="1:5" ht="12.75">
      <c r="A110" s="277"/>
      <c r="B110" s="277"/>
      <c r="C110" s="154"/>
      <c r="D110" s="81"/>
      <c r="E110" s="81"/>
    </row>
    <row r="111" spans="1:5" ht="12.75">
      <c r="A111" s="277"/>
      <c r="B111" s="277"/>
      <c r="C111" s="154"/>
      <c r="D111" s="81"/>
      <c r="E111" s="81"/>
    </row>
    <row r="112" spans="1:5" ht="12.75">
      <c r="A112" s="277"/>
      <c r="B112" s="277"/>
      <c r="C112" s="154"/>
      <c r="D112" s="81"/>
      <c r="E112" s="81"/>
    </row>
    <row r="113" spans="1:5" ht="12.75">
      <c r="A113" s="277"/>
      <c r="B113" s="277"/>
      <c r="C113" s="154"/>
      <c r="D113" s="81"/>
      <c r="E113" s="81"/>
    </row>
    <row r="114" spans="1:5" ht="12.75">
      <c r="A114" s="277"/>
      <c r="B114" s="277"/>
      <c r="C114" s="154"/>
      <c r="D114" s="81"/>
      <c r="E114" s="81"/>
    </row>
    <row r="115" spans="1:5" ht="12.75">
      <c r="A115" s="277"/>
      <c r="B115" s="277"/>
      <c r="C115" s="154"/>
      <c r="D115" s="81"/>
      <c r="E115" s="81"/>
    </row>
    <row r="116" spans="1:5" ht="12.75">
      <c r="A116" s="277"/>
      <c r="B116" s="277"/>
      <c r="C116" s="154"/>
      <c r="D116" s="81"/>
      <c r="E116" s="81"/>
    </row>
    <row r="117" spans="1:5" ht="12.75">
      <c r="A117" s="277"/>
      <c r="B117" s="277"/>
      <c r="C117" s="154"/>
      <c r="D117" s="81"/>
      <c r="E117" s="81"/>
    </row>
    <row r="118" spans="1:5" ht="12.75">
      <c r="A118" s="277"/>
      <c r="B118" s="277"/>
      <c r="C118" s="154"/>
      <c r="D118" s="81"/>
      <c r="E118" s="81"/>
    </row>
    <row r="119" spans="1:5" ht="12.75">
      <c r="A119" s="277"/>
      <c r="B119" s="277"/>
      <c r="C119" s="154"/>
      <c r="D119" s="81"/>
      <c r="E119" s="81"/>
    </row>
    <row r="120" spans="1:5" ht="12.75">
      <c r="A120" s="277"/>
      <c r="B120" s="277"/>
      <c r="C120" s="154"/>
      <c r="D120" s="81"/>
      <c r="E120" s="81"/>
    </row>
    <row r="121" spans="1:5" ht="12.75">
      <c r="A121" s="277"/>
      <c r="B121" s="277"/>
      <c r="C121" s="154"/>
      <c r="D121" s="81"/>
      <c r="E121" s="81"/>
    </row>
    <row r="122" spans="1:5" ht="12.75">
      <c r="A122" s="277"/>
      <c r="B122" s="277"/>
      <c r="C122" s="154"/>
      <c r="D122" s="81"/>
      <c r="E122" s="81"/>
    </row>
    <row r="123" spans="1:5" ht="12.75">
      <c r="A123" s="277"/>
      <c r="B123" s="277"/>
      <c r="C123" s="154"/>
      <c r="D123" s="81"/>
      <c r="E123" s="81"/>
    </row>
    <row r="124" spans="1:5" ht="12.75">
      <c r="A124" s="277"/>
      <c r="B124" s="277"/>
      <c r="C124" s="154"/>
      <c r="D124" s="81"/>
      <c r="E124" s="81"/>
    </row>
    <row r="125" spans="1:5" ht="12.75">
      <c r="A125" s="277"/>
      <c r="B125" s="277"/>
      <c r="C125" s="154"/>
      <c r="D125" s="81"/>
      <c r="E125" s="81"/>
    </row>
    <row r="126" spans="1:4" ht="12.75">
      <c r="A126" s="277"/>
      <c r="B126" s="277"/>
      <c r="C126" s="154"/>
      <c r="D126" s="81"/>
    </row>
  </sheetData>
  <sheetProtection selectLockedCells="1"/>
  <mergeCells count="16">
    <mergeCell ref="C14:E14"/>
    <mergeCell ref="C15:E15"/>
    <mergeCell ref="C16:E16"/>
    <mergeCell ref="C17:E17"/>
    <mergeCell ref="C18:E18"/>
    <mergeCell ref="C19:E19"/>
    <mergeCell ref="C12:D12"/>
    <mergeCell ref="B59:E59"/>
    <mergeCell ref="E49:E50"/>
    <mergeCell ref="D49:D50"/>
    <mergeCell ref="C20:E20"/>
    <mergeCell ref="C21:E21"/>
    <mergeCell ref="C22:E22"/>
    <mergeCell ref="C23:E23"/>
    <mergeCell ref="C24:E24"/>
    <mergeCell ref="C25:E25"/>
  </mergeCells>
  <conditionalFormatting sqref="D28:D30 C28:C29">
    <cfRule type="cellIs" priority="1" dxfId="0" operator="equal" stopIfTrue="1">
      <formula>"Do not adjust this line"</formula>
    </cfRule>
  </conditionalFormatting>
  <dataValidations count="5">
    <dataValidation type="list" allowBlank="1" showInputMessage="1" showErrorMessage="1" sqref="D31">
      <formula1>$G$9:$G$10</formula1>
    </dataValidation>
    <dataValidation type="list" allowBlank="1" showInputMessage="1" showErrorMessage="1" sqref="D38">
      <formula1>$G$12:$G$13</formula1>
    </dataValidation>
    <dataValidation type="list" allowBlank="1" showInputMessage="1" showErrorMessage="1" sqref="D30">
      <formula1>$I$9:$I$11</formula1>
    </dataValidation>
    <dataValidation type="list" allowBlank="1" showInputMessage="1" showErrorMessage="1" sqref="D27:D29">
      <formula1>$H$9:$H$10</formula1>
    </dataValidation>
    <dataValidation type="list" allowBlank="1" showInputMessage="1" showErrorMessage="1" sqref="F29 E30">
      <formula1>$I$9:$I$23</formula1>
    </dataValidation>
  </dataValidations>
  <printOptions horizontalCentered="1" verticalCentered="1"/>
  <pageMargins left="0.31496062992125984" right="0.1968503937007874" top="0.1968503937007874" bottom="0.3937007874015748" header="0" footer="0"/>
  <pageSetup fitToHeight="1" fitToWidth="1" horizontalDpi="600" verticalDpi="600" orientation="portrait" paperSize="9" scale="47"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6">
    <tabColor rgb="FFFF0000"/>
    <pageSetUpPr fitToPage="1"/>
  </sheetPr>
  <dimension ref="A1:K57"/>
  <sheetViews>
    <sheetView zoomScale="110" zoomScaleNormal="110" zoomScalePageLayoutView="0" workbookViewId="0" topLeftCell="A1">
      <selection activeCell="E30" sqref="E30"/>
    </sheetView>
  </sheetViews>
  <sheetFormatPr defaultColWidth="9.140625" defaultRowHeight="12.75"/>
  <cols>
    <col min="1" max="1" width="9.140625" style="40" customWidth="1"/>
    <col min="2" max="2" width="32.140625" style="3" customWidth="1"/>
    <col min="3" max="3" width="38.140625" style="3" bestFit="1" customWidth="1"/>
    <col min="4" max="4" width="16.28125" style="3" customWidth="1"/>
    <col min="5" max="5" width="14.00390625" style="3" customWidth="1"/>
    <col min="6" max="6" width="5.140625" style="8" customWidth="1"/>
    <col min="7" max="7" width="72.7109375" style="3" customWidth="1"/>
    <col min="8" max="8" width="14.28125" style="3" customWidth="1"/>
    <col min="9" max="9" width="19.57421875" style="3" customWidth="1"/>
    <col min="10" max="10" width="14.28125" style="3" customWidth="1"/>
    <col min="11" max="16384" width="9.140625" style="3" customWidth="1"/>
  </cols>
  <sheetData>
    <row r="1" spans="1:10" s="45" customFormat="1" ht="20.25">
      <c r="A1" s="46"/>
      <c r="B1" s="44" t="s">
        <v>275</v>
      </c>
      <c r="C1" s="44"/>
      <c r="D1" s="44" t="s">
        <v>286</v>
      </c>
      <c r="E1" s="44"/>
      <c r="F1" s="49"/>
      <c r="G1" s="44"/>
      <c r="H1" s="44"/>
      <c r="I1" s="44"/>
      <c r="J1" s="44"/>
    </row>
    <row r="2" spans="1:10" s="5" customFormat="1" ht="15.75">
      <c r="A2" s="47"/>
      <c r="D2" s="4" t="s">
        <v>287</v>
      </c>
      <c r="E2" s="4"/>
      <c r="F2" s="50"/>
      <c r="G2" s="4"/>
      <c r="H2" s="4"/>
      <c r="I2" s="4"/>
      <c r="J2" s="4"/>
    </row>
    <row r="3" spans="1:8" s="13" customFormat="1" ht="15.75">
      <c r="A3" s="48"/>
      <c r="D3" s="13" t="s">
        <v>237</v>
      </c>
      <c r="F3" s="48"/>
      <c r="G3" s="14"/>
      <c r="H3" s="13" t="s">
        <v>238</v>
      </c>
    </row>
    <row r="4" spans="1:6" s="13" customFormat="1" ht="15.75">
      <c r="A4" s="48"/>
      <c r="F4" s="48"/>
    </row>
    <row r="5" spans="4:11" ht="12.75">
      <c r="D5" s="42" t="s">
        <v>291</v>
      </c>
      <c r="E5" s="43"/>
      <c r="H5" s="42" t="s">
        <v>292</v>
      </c>
      <c r="I5" s="43"/>
      <c r="J5" s="42"/>
      <c r="K5" s="54"/>
    </row>
    <row r="6" spans="1:8" s="2" customFormat="1" ht="12.75">
      <c r="A6" s="40">
        <v>1</v>
      </c>
      <c r="B6" s="2" t="s">
        <v>202</v>
      </c>
      <c r="C6" s="6" t="s">
        <v>225</v>
      </c>
      <c r="D6" s="37" t="s">
        <v>370</v>
      </c>
      <c r="F6" s="40">
        <v>6</v>
      </c>
      <c r="G6" s="2" t="s">
        <v>223</v>
      </c>
      <c r="H6" s="3"/>
    </row>
    <row r="7" spans="3:10" ht="12.75">
      <c r="C7" s="6" t="s">
        <v>203</v>
      </c>
      <c r="D7" s="33">
        <v>45194</v>
      </c>
      <c r="E7" s="15">
        <f>D7+363</f>
        <v>45557</v>
      </c>
      <c r="G7" s="3" t="s">
        <v>317</v>
      </c>
      <c r="H7" s="32">
        <v>30960</v>
      </c>
      <c r="I7" s="16"/>
      <c r="J7" s="17">
        <f>H7</f>
        <v>30960</v>
      </c>
    </row>
    <row r="8" spans="3:10" ht="12.75">
      <c r="C8" s="6" t="s">
        <v>263</v>
      </c>
      <c r="D8" s="33">
        <v>44965</v>
      </c>
      <c r="H8" s="18"/>
      <c r="I8" s="16"/>
      <c r="J8" s="16"/>
    </row>
    <row r="9" spans="1:10" s="2" customFormat="1" ht="12.75">
      <c r="A9" s="40"/>
      <c r="B9" s="2" t="s">
        <v>205</v>
      </c>
      <c r="D9" s="9"/>
      <c r="F9" s="40">
        <v>7</v>
      </c>
      <c r="G9" s="2" t="s">
        <v>226</v>
      </c>
      <c r="H9" s="42" t="s">
        <v>294</v>
      </c>
      <c r="I9" s="43"/>
      <c r="J9" s="42"/>
    </row>
    <row r="10" spans="1:10" s="2" customFormat="1" ht="12.75">
      <c r="A10" s="40"/>
      <c r="B10" s="3" t="s">
        <v>204</v>
      </c>
      <c r="D10" s="33">
        <v>45194</v>
      </c>
      <c r="E10" s="20" t="s">
        <v>234</v>
      </c>
      <c r="F10" s="40"/>
      <c r="G10" s="3" t="s">
        <v>227</v>
      </c>
      <c r="H10" s="32">
        <v>350</v>
      </c>
      <c r="I10" s="21"/>
      <c r="J10" s="19"/>
    </row>
    <row r="11" spans="1:10" s="2" customFormat="1" ht="12.75">
      <c r="A11" s="40"/>
      <c r="B11" s="3" t="s">
        <v>239</v>
      </c>
      <c r="D11" s="33">
        <v>45503</v>
      </c>
      <c r="E11" s="22">
        <f>ROUND(((MAX(D11:D12)-D10)/7),0)</f>
        <v>44</v>
      </c>
      <c r="F11" s="40"/>
      <c r="G11" s="3" t="s">
        <v>232</v>
      </c>
      <c r="H11" s="32">
        <v>325</v>
      </c>
      <c r="I11" s="17">
        <f>MAX(H10:H11)</f>
        <v>350</v>
      </c>
      <c r="J11" s="19"/>
    </row>
    <row r="12" spans="1:10" s="2" customFormat="1" ht="12.75">
      <c r="A12" s="40"/>
      <c r="B12" s="10" t="s">
        <v>240</v>
      </c>
      <c r="C12" s="3" t="s">
        <v>241</v>
      </c>
      <c r="D12" s="33"/>
      <c r="E12" s="20" t="s">
        <v>253</v>
      </c>
      <c r="F12" s="40"/>
      <c r="G12" s="3" t="s">
        <v>273</v>
      </c>
      <c r="H12" s="32">
        <v>60</v>
      </c>
      <c r="I12" s="19"/>
      <c r="J12" s="19"/>
    </row>
    <row r="13" spans="1:10" s="6" customFormat="1" ht="12.75">
      <c r="A13" s="40"/>
      <c r="D13" s="7"/>
      <c r="E13" s="20">
        <v>52</v>
      </c>
      <c r="F13" s="40"/>
      <c r="G13" s="3" t="s">
        <v>251</v>
      </c>
      <c r="H13" s="32">
        <v>60</v>
      </c>
      <c r="I13" s="23"/>
      <c r="J13" s="23"/>
    </row>
    <row r="14" spans="1:10" ht="12.75">
      <c r="A14" s="40">
        <v>2</v>
      </c>
      <c r="B14" s="2" t="s">
        <v>206</v>
      </c>
      <c r="C14" s="6"/>
      <c r="D14" s="9"/>
      <c r="G14" s="3" t="s">
        <v>230</v>
      </c>
      <c r="H14" s="32">
        <v>15</v>
      </c>
      <c r="I14" s="16"/>
      <c r="J14" s="16"/>
    </row>
    <row r="15" spans="2:10" ht="12.75">
      <c r="B15" s="2" t="s">
        <v>233</v>
      </c>
      <c r="D15" s="9"/>
      <c r="G15" s="3" t="s">
        <v>231</v>
      </c>
      <c r="H15" s="32">
        <v>40</v>
      </c>
      <c r="I15" s="16"/>
      <c r="J15" s="16"/>
    </row>
    <row r="16" spans="2:10" ht="12.75">
      <c r="B16" s="6" t="s">
        <v>207</v>
      </c>
      <c r="D16" s="9"/>
      <c r="G16" s="3" t="s">
        <v>368</v>
      </c>
      <c r="H16" s="32">
        <v>60</v>
      </c>
      <c r="I16" s="17">
        <f>SUM(H12:H16)</f>
        <v>235</v>
      </c>
      <c r="J16" s="17">
        <f>(SUM(I11:I16))*E13</f>
        <v>30420</v>
      </c>
    </row>
    <row r="17" spans="2:10" ht="12.75">
      <c r="B17" s="6" t="s">
        <v>274</v>
      </c>
      <c r="D17" s="42" t="s">
        <v>307</v>
      </c>
      <c r="E17" s="43"/>
      <c r="H17" s="9"/>
      <c r="I17" s="16"/>
      <c r="J17" s="16"/>
    </row>
    <row r="18" spans="2:10" ht="12.75">
      <c r="B18" s="3" t="s">
        <v>208</v>
      </c>
      <c r="D18" s="33">
        <v>45194</v>
      </c>
      <c r="E18" s="15">
        <f>D19-1</f>
        <v>45305</v>
      </c>
      <c r="F18" s="8">
        <v>8</v>
      </c>
      <c r="G18" s="2" t="s">
        <v>236</v>
      </c>
      <c r="H18" s="9"/>
      <c r="I18" s="16"/>
      <c r="J18" s="16"/>
    </row>
    <row r="19" spans="2:10" ht="12.75">
      <c r="B19" s="3" t="s">
        <v>210</v>
      </c>
      <c r="D19" s="33">
        <v>45306</v>
      </c>
      <c r="E19" s="15">
        <f>IF((D20&gt;0),(D20-1),(MAX(D10:D11)))</f>
        <v>45410</v>
      </c>
      <c r="G19" s="3" t="s">
        <v>327</v>
      </c>
      <c r="H19" s="32">
        <v>1300</v>
      </c>
      <c r="I19" s="24"/>
      <c r="J19" s="17">
        <f>H19*2</f>
        <v>2600</v>
      </c>
    </row>
    <row r="20" spans="2:10" ht="12.75">
      <c r="B20" s="3" t="s">
        <v>209</v>
      </c>
      <c r="D20" s="33">
        <v>45411</v>
      </c>
      <c r="E20" s="15">
        <f>IF((D21&gt;0),(D21-1),(MAX(D11:D12)))</f>
        <v>45503</v>
      </c>
      <c r="G20" s="3" t="s">
        <v>328</v>
      </c>
      <c r="H20" s="32">
        <v>400</v>
      </c>
      <c r="I20" s="24"/>
      <c r="J20" s="16"/>
    </row>
    <row r="21" spans="2:10" ht="12.75">
      <c r="B21" s="3" t="s">
        <v>211</v>
      </c>
      <c r="D21" s="33"/>
      <c r="E21" s="15">
        <f>IF((D22&gt;0),(D22-1),(MAX(D11:D12)))</f>
        <v>45503</v>
      </c>
      <c r="G21" s="3" t="s">
        <v>369</v>
      </c>
      <c r="H21" s="32">
        <v>999</v>
      </c>
      <c r="I21" s="24"/>
      <c r="J21" s="16"/>
    </row>
    <row r="22" spans="5:10" ht="12.75">
      <c r="E22" s="15">
        <f>E18</f>
        <v>45305</v>
      </c>
      <c r="F22" s="51" t="s">
        <v>276</v>
      </c>
      <c r="G22" s="34" t="s">
        <v>329</v>
      </c>
      <c r="H22" s="32">
        <v>472</v>
      </c>
      <c r="I22" s="24"/>
      <c r="J22" s="16"/>
    </row>
    <row r="23" spans="1:10" ht="12.75">
      <c r="A23" s="40">
        <v>3</v>
      </c>
      <c r="B23" s="2" t="s">
        <v>247</v>
      </c>
      <c r="D23" s="9"/>
      <c r="E23" s="15">
        <f>IF((D20&gt;1),(D20-1),E7)</f>
        <v>45410</v>
      </c>
      <c r="F23" s="51" t="s">
        <v>277</v>
      </c>
      <c r="G23" s="34" t="s">
        <v>4</v>
      </c>
      <c r="H23" s="32">
        <v>0</v>
      </c>
      <c r="I23" s="24"/>
      <c r="J23" s="16"/>
    </row>
    <row r="24" spans="3:10" ht="12.75">
      <c r="C24" s="6" t="s">
        <v>228</v>
      </c>
      <c r="D24" s="9"/>
      <c r="E24" s="15">
        <f>IF((D21&gt;1),(D21-1),E7)</f>
        <v>45557</v>
      </c>
      <c r="F24" s="51" t="s">
        <v>278</v>
      </c>
      <c r="G24" s="34" t="s">
        <v>4</v>
      </c>
      <c r="H24" s="32">
        <v>0</v>
      </c>
      <c r="I24" s="24"/>
      <c r="J24" s="16"/>
    </row>
    <row r="25" spans="3:10" ht="12.75">
      <c r="C25" s="6" t="s">
        <v>229</v>
      </c>
      <c r="D25" s="9"/>
      <c r="E25" s="15">
        <f>IF((D22&gt;1),(D22-1),E7)</f>
        <v>45557</v>
      </c>
      <c r="F25" s="51" t="s">
        <v>279</v>
      </c>
      <c r="G25" s="34" t="s">
        <v>4</v>
      </c>
      <c r="H25" s="32">
        <v>0</v>
      </c>
      <c r="I25" s="16"/>
      <c r="J25" s="17">
        <f>SUM(H20:H25)</f>
        <v>1871</v>
      </c>
    </row>
    <row r="26" spans="3:4" ht="12.75">
      <c r="C26" s="11" t="s">
        <v>214</v>
      </c>
      <c r="D26" s="35" t="s">
        <v>333</v>
      </c>
    </row>
    <row r="27" spans="3:4" ht="12.75">
      <c r="C27" s="11" t="s">
        <v>215</v>
      </c>
      <c r="D27" s="35" t="s">
        <v>335</v>
      </c>
    </row>
    <row r="28" spans="3:11" ht="12.75">
      <c r="C28" s="11" t="s">
        <v>216</v>
      </c>
      <c r="D28" s="35" t="s">
        <v>331</v>
      </c>
      <c r="F28" s="8">
        <v>9</v>
      </c>
      <c r="G28" s="2" t="s">
        <v>295</v>
      </c>
      <c r="H28" s="2"/>
      <c r="I28" s="42" t="s">
        <v>293</v>
      </c>
      <c r="J28" s="43"/>
      <c r="K28" s="54"/>
    </row>
    <row r="29" spans="3:10" ht="12.75">
      <c r="C29" s="11" t="s">
        <v>217</v>
      </c>
      <c r="D29" s="35" t="s">
        <v>337</v>
      </c>
      <c r="G29" s="6" t="s">
        <v>212</v>
      </c>
      <c r="H29" s="6" t="s">
        <v>213</v>
      </c>
      <c r="I29" s="53">
        <v>44965</v>
      </c>
      <c r="J29" s="3" t="s">
        <v>334</v>
      </c>
    </row>
    <row r="30" spans="3:9" ht="12.75">
      <c r="C30" s="11" t="s">
        <v>218</v>
      </c>
      <c r="D30" s="35" t="s">
        <v>374</v>
      </c>
      <c r="G30" s="6" t="s">
        <v>249</v>
      </c>
      <c r="H30" s="6" t="s">
        <v>213</v>
      </c>
      <c r="I30" s="53">
        <v>45261</v>
      </c>
    </row>
    <row r="31" spans="3:10" ht="12.75">
      <c r="C31" s="11" t="s">
        <v>219</v>
      </c>
      <c r="D31" s="35" t="s">
        <v>371</v>
      </c>
      <c r="G31" s="6" t="s">
        <v>222</v>
      </c>
      <c r="H31" s="2" t="s">
        <v>187</v>
      </c>
      <c r="I31" s="40" t="s">
        <v>42</v>
      </c>
      <c r="J31" s="40" t="s">
        <v>186</v>
      </c>
    </row>
    <row r="32" spans="3:10" ht="12.75">
      <c r="C32" s="11" t="s">
        <v>220</v>
      </c>
      <c r="D32" s="35"/>
      <c r="G32" s="6" t="s">
        <v>289</v>
      </c>
      <c r="H32" s="3" t="s">
        <v>185</v>
      </c>
      <c r="I32" s="41">
        <v>1.20804</v>
      </c>
      <c r="J32" s="41"/>
    </row>
    <row r="33" spans="3:10" ht="12.75">
      <c r="C33" s="11" t="s">
        <v>221</v>
      </c>
      <c r="D33" s="35"/>
      <c r="H33" s="3" t="s">
        <v>188</v>
      </c>
      <c r="I33" s="41">
        <v>1.1617</v>
      </c>
      <c r="J33" s="41"/>
    </row>
    <row r="34" spans="8:10" ht="12.75">
      <c r="H34" s="3" t="s">
        <v>189</v>
      </c>
      <c r="I34" s="41"/>
      <c r="J34" s="41"/>
    </row>
    <row r="35" spans="1:11" ht="12.75">
      <c r="A35" s="40">
        <v>4</v>
      </c>
      <c r="B35" s="2" t="s">
        <v>320</v>
      </c>
      <c r="H35" s="3" t="s">
        <v>190</v>
      </c>
      <c r="I35" s="41"/>
      <c r="J35" s="41"/>
      <c r="K35" s="2"/>
    </row>
    <row r="36" spans="2:11" ht="12.75">
      <c r="B36" s="6" t="s">
        <v>224</v>
      </c>
      <c r="D36" s="42" t="s">
        <v>304</v>
      </c>
      <c r="E36" s="42"/>
      <c r="F36" s="52"/>
      <c r="G36" s="3" t="s">
        <v>326</v>
      </c>
      <c r="H36" s="3" t="s">
        <v>191</v>
      </c>
      <c r="I36" s="41"/>
      <c r="J36" s="41"/>
      <c r="K36" s="6"/>
    </row>
    <row r="37" spans="2:10" ht="12.75">
      <c r="B37" s="6" t="s">
        <v>367</v>
      </c>
      <c r="C37" s="6" t="s">
        <v>89</v>
      </c>
      <c r="D37" s="38" t="s">
        <v>200</v>
      </c>
      <c r="E37" s="38" t="s">
        <v>201</v>
      </c>
      <c r="H37" s="3" t="s">
        <v>192</v>
      </c>
      <c r="I37" s="41"/>
      <c r="J37" s="41"/>
    </row>
    <row r="38" spans="1:11" s="2" customFormat="1" ht="12.75">
      <c r="A38" s="40"/>
      <c r="B38" s="6"/>
      <c r="C38" s="3" t="s">
        <v>197</v>
      </c>
      <c r="D38" s="35">
        <v>1.057</v>
      </c>
      <c r="E38" s="35">
        <v>0</v>
      </c>
      <c r="F38" s="40"/>
      <c r="G38" s="3"/>
      <c r="H38" s="3" t="s">
        <v>193</v>
      </c>
      <c r="I38" s="41"/>
      <c r="J38" s="41"/>
      <c r="K38" s="3"/>
    </row>
    <row r="39" spans="1:11" s="6" customFormat="1" ht="12.75">
      <c r="A39" s="40"/>
      <c r="B39" s="3"/>
      <c r="C39" s="3" t="s">
        <v>198</v>
      </c>
      <c r="D39" s="35">
        <v>1.057</v>
      </c>
      <c r="E39" s="35">
        <v>0</v>
      </c>
      <c r="F39" s="40"/>
      <c r="G39" s="3"/>
      <c r="H39" s="3" t="s">
        <v>194</v>
      </c>
      <c r="I39" s="41"/>
      <c r="J39" s="41"/>
      <c r="K39" s="3"/>
    </row>
    <row r="40" spans="3:10" ht="12.75">
      <c r="C40" s="3" t="s">
        <v>199</v>
      </c>
      <c r="D40" s="35">
        <v>4.228</v>
      </c>
      <c r="E40" s="35">
        <v>0</v>
      </c>
      <c r="G40" s="1"/>
      <c r="H40" s="3" t="s">
        <v>195</v>
      </c>
      <c r="I40" s="41"/>
      <c r="J40" s="41"/>
    </row>
    <row r="41" spans="3:10" ht="12.75">
      <c r="C41" s="20" t="s">
        <v>246</v>
      </c>
      <c r="D41" s="39">
        <f>MAX(D38:D40)</f>
        <v>4.228</v>
      </c>
      <c r="E41" s="10"/>
      <c r="G41" s="25"/>
      <c r="H41" s="3" t="s">
        <v>196</v>
      </c>
      <c r="I41" s="41"/>
      <c r="J41" s="41"/>
    </row>
    <row r="42" spans="7:10" ht="12.75">
      <c r="G42" s="25"/>
      <c r="H42" s="20" t="s">
        <v>235</v>
      </c>
      <c r="I42" s="39">
        <f>MAX(I32:I41)</f>
        <v>1.20804</v>
      </c>
      <c r="J42" s="39">
        <f>MAX(J32:J41)</f>
        <v>0</v>
      </c>
    </row>
    <row r="43" spans="1:10" ht="12.75">
      <c r="A43" s="40">
        <v>5</v>
      </c>
      <c r="B43" s="2" t="s">
        <v>319</v>
      </c>
      <c r="G43" s="25"/>
      <c r="H43" s="26"/>
      <c r="I43" s="26"/>
      <c r="J43" s="26"/>
    </row>
    <row r="44" spans="2:9" ht="12.75">
      <c r="B44" s="6" t="s">
        <v>306</v>
      </c>
      <c r="G44" s="20" t="s">
        <v>245</v>
      </c>
      <c r="H44" s="20">
        <v>1.4022</v>
      </c>
      <c r="I44" s="27"/>
    </row>
    <row r="45" spans="2:10" ht="12.75">
      <c r="B45" s="6"/>
      <c r="D45" s="42" t="s">
        <v>305</v>
      </c>
      <c r="E45" s="42"/>
      <c r="F45" s="52"/>
      <c r="I45" s="6"/>
      <c r="J45" s="6"/>
    </row>
    <row r="46" spans="2:10" ht="25.5">
      <c r="B46" s="28" t="s">
        <v>92</v>
      </c>
      <c r="C46" s="28" t="s">
        <v>79</v>
      </c>
      <c r="D46" s="28" t="s">
        <v>258</v>
      </c>
      <c r="E46" s="28" t="s">
        <v>259</v>
      </c>
      <c r="G46" s="20" t="s">
        <v>260</v>
      </c>
      <c r="H46" s="29">
        <f>ROUND(((SUM(J7:J25))*H44),0)</f>
        <v>92336</v>
      </c>
      <c r="J46" s="3" t="s">
        <v>363</v>
      </c>
    </row>
    <row r="47" spans="2:10" ht="12.75">
      <c r="B47" s="10" t="s">
        <v>254</v>
      </c>
      <c r="C47" s="36">
        <v>3500</v>
      </c>
      <c r="D47" s="36">
        <v>2000</v>
      </c>
      <c r="E47" s="36">
        <v>6000</v>
      </c>
      <c r="G47" s="20" t="s">
        <v>261</v>
      </c>
      <c r="H47" s="30">
        <f>ROUND((H46*0.1),0)</f>
        <v>9234</v>
      </c>
      <c r="J47" s="3" t="s">
        <v>364</v>
      </c>
    </row>
    <row r="48" spans="2:10" ht="12.75">
      <c r="B48" s="10" t="s">
        <v>255</v>
      </c>
      <c r="C48" s="36">
        <v>4500</v>
      </c>
      <c r="D48" s="36">
        <v>2000</v>
      </c>
      <c r="E48" s="36">
        <v>6000</v>
      </c>
      <c r="G48" s="20"/>
      <c r="H48" s="29">
        <f>SUM(H46:H47)</f>
        <v>101570</v>
      </c>
      <c r="J48" s="3" t="s">
        <v>365</v>
      </c>
    </row>
    <row r="49" spans="2:10" ht="12.75">
      <c r="B49" s="10" t="s">
        <v>256</v>
      </c>
      <c r="C49" s="36">
        <v>5500</v>
      </c>
      <c r="D49" s="36">
        <v>2000</v>
      </c>
      <c r="E49" s="36">
        <v>7000</v>
      </c>
      <c r="G49" s="20" t="s">
        <v>262</v>
      </c>
      <c r="H49" s="20">
        <f>H48/100*D41</f>
        <v>4294.3796</v>
      </c>
      <c r="J49" s="3" t="s">
        <v>366</v>
      </c>
    </row>
    <row r="50" spans="2:8" ht="13.5" thickBot="1">
      <c r="B50" s="10" t="s">
        <v>257</v>
      </c>
      <c r="C50" s="36">
        <v>5500</v>
      </c>
      <c r="D50" s="36">
        <v>2000</v>
      </c>
      <c r="E50" s="36">
        <v>7000</v>
      </c>
      <c r="G50" s="20" t="s">
        <v>266</v>
      </c>
      <c r="H50" s="31">
        <f>SUM(H48:H49)</f>
        <v>105864.3796</v>
      </c>
    </row>
    <row r="51" spans="2:5" ht="13.5" thickTop="1">
      <c r="B51" s="10" t="s">
        <v>95</v>
      </c>
      <c r="C51" s="36">
        <v>0</v>
      </c>
      <c r="D51" s="36">
        <v>0</v>
      </c>
      <c r="E51" s="36">
        <v>20500</v>
      </c>
    </row>
    <row r="52" ht="12.75">
      <c r="E52" s="12"/>
    </row>
    <row r="54" spans="1:6" s="2" customFormat="1" ht="12.75">
      <c r="A54" s="40">
        <v>10</v>
      </c>
      <c r="B54" s="2" t="s">
        <v>318</v>
      </c>
      <c r="F54" s="40"/>
    </row>
    <row r="55" spans="3:5" ht="12.75">
      <c r="C55" s="3" t="s">
        <v>93</v>
      </c>
      <c r="D55" s="3" t="s">
        <v>94</v>
      </c>
      <c r="E55" s="3" t="s">
        <v>321</v>
      </c>
    </row>
    <row r="56" spans="2:5" ht="12.75">
      <c r="B56" s="3" t="s">
        <v>322</v>
      </c>
      <c r="C56" s="55" t="e">
        <f>#REF!</f>
        <v>#REF!</v>
      </c>
      <c r="D56" s="55">
        <f>E7</f>
        <v>45557</v>
      </c>
      <c r="E56" s="3" t="e">
        <f>ROUND(((D56-C56)/7),0)</f>
        <v>#REF!</v>
      </c>
    </row>
    <row r="57" spans="2:5" ht="12.75">
      <c r="B57" s="3" t="s">
        <v>323</v>
      </c>
      <c r="C57" s="55" t="e">
        <f>C56</f>
        <v>#REF!</v>
      </c>
      <c r="D57" s="55">
        <f>D11</f>
        <v>45503</v>
      </c>
      <c r="E57" s="3" t="e">
        <f>ROUND(((D57-C57)/7),0)</f>
        <v>#REF!</v>
      </c>
    </row>
  </sheetData>
  <sheetProtection password="8B9F" sheet="1" selectLockedCells="1" selectUnlockedCells="1"/>
  <printOptions/>
  <pageMargins left="0.75" right="0.75" top="1" bottom="1" header="0.5" footer="0.5"/>
  <pageSetup fitToHeight="0"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codeName="Sheet5">
    <tabColor rgb="FFFF0000"/>
    <pageSetUpPr fitToPage="1"/>
  </sheetPr>
  <dimension ref="A2:I58"/>
  <sheetViews>
    <sheetView showGridLines="0" workbookViewId="0" topLeftCell="A21">
      <selection activeCell="B36" sqref="B36"/>
    </sheetView>
  </sheetViews>
  <sheetFormatPr defaultColWidth="9.140625" defaultRowHeight="12.75"/>
  <cols>
    <col min="1" max="1" width="29.28125" style="96" customWidth="1"/>
    <col min="2" max="2" width="61.7109375" style="96" customWidth="1"/>
    <col min="3" max="16384" width="9.140625" style="96" customWidth="1"/>
  </cols>
  <sheetData>
    <row r="2" spans="1:9" ht="15">
      <c r="A2" s="281" t="str">
        <f>'Cost of Attendance'!C15&amp;" "&amp;'Cost of Attendance'!C14</f>
        <v> </v>
      </c>
      <c r="B2" s="282"/>
      <c r="C2" s="282"/>
      <c r="D2" s="282"/>
      <c r="E2" s="282"/>
      <c r="F2" s="282"/>
      <c r="G2" s="282"/>
      <c r="H2" s="283"/>
      <c r="I2" s="283"/>
    </row>
    <row r="3" spans="1:9" ht="15">
      <c r="A3" s="284">
        <f>'Cost of Attendance'!C16</f>
        <v>0</v>
      </c>
      <c r="B3" s="282"/>
      <c r="C3" s="282"/>
      <c r="D3" s="282"/>
      <c r="E3" s="282"/>
      <c r="F3" s="282"/>
      <c r="G3" s="282"/>
      <c r="H3" s="283"/>
      <c r="I3" s="283"/>
    </row>
    <row r="4" spans="1:9" ht="15">
      <c r="A4" s="284">
        <f>'Cost of Attendance'!C17</f>
        <v>0</v>
      </c>
      <c r="B4" s="282"/>
      <c r="C4" s="282"/>
      <c r="D4" s="282"/>
      <c r="E4" s="282"/>
      <c r="F4" s="282"/>
      <c r="G4" s="282"/>
      <c r="H4" s="283"/>
      <c r="I4" s="283"/>
    </row>
    <row r="5" spans="1:9" ht="15">
      <c r="A5" s="284">
        <f>'Cost of Attendance'!C18</f>
        <v>0</v>
      </c>
      <c r="B5" s="282"/>
      <c r="C5" s="282"/>
      <c r="D5" s="282"/>
      <c r="E5" s="282"/>
      <c r="F5" s="282"/>
      <c r="G5" s="282"/>
      <c r="H5" s="283"/>
      <c r="I5" s="283"/>
    </row>
    <row r="6" spans="1:9" ht="15">
      <c r="A6" s="284">
        <f>'Cost of Attendance'!C19</f>
        <v>0</v>
      </c>
      <c r="B6" s="282"/>
      <c r="C6" s="282"/>
      <c r="D6" s="282"/>
      <c r="E6" s="282"/>
      <c r="F6" s="282"/>
      <c r="G6" s="282"/>
      <c r="H6" s="283"/>
      <c r="I6" s="283"/>
    </row>
    <row r="7" spans="1:9" ht="15">
      <c r="A7" s="284">
        <f>'Cost of Attendance'!C20</f>
        <v>0</v>
      </c>
      <c r="B7" s="282"/>
      <c r="C7" s="282"/>
      <c r="D7" s="282"/>
      <c r="E7" s="282"/>
      <c r="F7" s="282"/>
      <c r="G7" s="282"/>
      <c r="H7" s="283"/>
      <c r="I7" s="283"/>
    </row>
    <row r="8" spans="1:9" ht="15">
      <c r="A8" s="282"/>
      <c r="B8" s="282"/>
      <c r="C8" s="282"/>
      <c r="D8" s="282"/>
      <c r="E8" s="282"/>
      <c r="F8" s="282"/>
      <c r="G8" s="282"/>
      <c r="H8" s="283"/>
      <c r="I8" s="283"/>
    </row>
    <row r="9" spans="1:9" ht="21">
      <c r="A9" s="301" t="s">
        <v>101</v>
      </c>
      <c r="B9" s="282"/>
      <c r="C9" s="282"/>
      <c r="D9" s="282"/>
      <c r="E9" s="282"/>
      <c r="F9" s="282"/>
      <c r="G9" s="282"/>
      <c r="H9" s="283"/>
      <c r="I9" s="283"/>
    </row>
    <row r="10" spans="1:9" ht="21">
      <c r="A10" s="302" t="str">
        <f>'Cost of Attendance'!C4</f>
        <v>for Academic Year 2023/24</v>
      </c>
      <c r="B10" s="282"/>
      <c r="C10" s="282"/>
      <c r="D10" s="282"/>
      <c r="E10" s="282"/>
      <c r="F10" s="282"/>
      <c r="G10" s="282"/>
      <c r="H10" s="283"/>
      <c r="I10" s="283"/>
    </row>
    <row r="11" spans="1:9" ht="15">
      <c r="A11" s="282"/>
      <c r="B11" s="282"/>
      <c r="C11" s="282"/>
      <c r="D11" s="282"/>
      <c r="E11" s="282"/>
      <c r="F11" s="282"/>
      <c r="G11" s="282"/>
      <c r="H11" s="283"/>
      <c r="I11" s="283"/>
    </row>
    <row r="12" spans="1:9" ht="15">
      <c r="A12" s="282"/>
      <c r="B12" s="282"/>
      <c r="C12" s="282"/>
      <c r="D12" s="282"/>
      <c r="E12" s="282"/>
      <c r="F12" s="282"/>
      <c r="G12" s="282"/>
      <c r="H12" s="283"/>
      <c r="I12" s="283"/>
    </row>
    <row r="13" spans="1:9" ht="15">
      <c r="A13" s="282" t="s">
        <v>102</v>
      </c>
      <c r="B13" s="282"/>
      <c r="C13" s="282"/>
      <c r="D13" s="282"/>
      <c r="E13" s="282"/>
      <c r="F13" s="282"/>
      <c r="G13" s="282"/>
      <c r="H13" s="283"/>
      <c r="I13" s="283"/>
    </row>
    <row r="14" spans="1:9" ht="15">
      <c r="A14" s="282"/>
      <c r="B14" s="282"/>
      <c r="C14" s="282"/>
      <c r="D14" s="282"/>
      <c r="E14" s="282"/>
      <c r="F14" s="282"/>
      <c r="G14" s="282"/>
      <c r="H14" s="283"/>
      <c r="I14" s="283"/>
    </row>
    <row r="15" spans="1:9" s="106" customFormat="1" ht="15.75">
      <c r="A15" s="285" t="s">
        <v>103</v>
      </c>
      <c r="B15" s="286" t="str">
        <f>'Cost of Attendance'!C15&amp;" "&amp;'Cost of Attendance'!C14</f>
        <v> </v>
      </c>
      <c r="C15" s="287"/>
      <c r="D15" s="287"/>
      <c r="E15" s="287"/>
      <c r="F15" s="287"/>
      <c r="G15" s="287"/>
      <c r="H15" s="288"/>
      <c r="I15" s="288"/>
    </row>
    <row r="16" spans="1:9" s="106" customFormat="1" ht="15.75">
      <c r="A16" s="285" t="s">
        <v>284</v>
      </c>
      <c r="B16" s="289">
        <f>'Cost of Attendance'!C22</f>
        <v>0</v>
      </c>
      <c r="C16" s="287"/>
      <c r="D16" s="287"/>
      <c r="E16" s="287"/>
      <c r="F16" s="287"/>
      <c r="G16" s="287"/>
      <c r="H16" s="288"/>
      <c r="I16" s="288"/>
    </row>
    <row r="17" spans="1:9" s="106" customFormat="1" ht="15.75">
      <c r="A17" s="285" t="s">
        <v>105</v>
      </c>
      <c r="B17" s="290">
        <f>'Cost of Attendance'!C24</f>
        <v>0</v>
      </c>
      <c r="C17" s="287"/>
      <c r="D17" s="287"/>
      <c r="E17" s="287"/>
      <c r="F17" s="287"/>
      <c r="G17" s="287"/>
      <c r="H17" s="288"/>
      <c r="I17" s="288"/>
    </row>
    <row r="18" spans="1:9" s="106" customFormat="1" ht="15.75">
      <c r="A18" s="451" t="s">
        <v>336</v>
      </c>
      <c r="B18" s="452"/>
      <c r="C18" s="287"/>
      <c r="D18" s="287"/>
      <c r="E18" s="287"/>
      <c r="F18" s="287"/>
      <c r="G18" s="287"/>
      <c r="H18" s="288"/>
      <c r="I18" s="288"/>
    </row>
    <row r="19" spans="1:9" s="110" customFormat="1" ht="117" customHeight="1">
      <c r="A19" s="449" t="s">
        <v>332</v>
      </c>
      <c r="B19" s="450"/>
      <c r="C19" s="282"/>
      <c r="D19" s="282"/>
      <c r="E19" s="282"/>
      <c r="F19" s="282"/>
      <c r="G19" s="282"/>
      <c r="H19" s="283"/>
      <c r="I19" s="283"/>
    </row>
    <row r="20" spans="1:9" s="110" customFormat="1" ht="15.75">
      <c r="A20" s="282"/>
      <c r="B20" s="282"/>
      <c r="C20" s="282"/>
      <c r="D20" s="282"/>
      <c r="E20" s="282"/>
      <c r="F20" s="282"/>
      <c r="G20" s="282"/>
      <c r="H20" s="283"/>
      <c r="I20" s="283"/>
    </row>
    <row r="21" spans="1:9" s="110" customFormat="1" ht="15.75">
      <c r="A21" s="282" t="s">
        <v>107</v>
      </c>
      <c r="B21" s="282"/>
      <c r="C21" s="282"/>
      <c r="D21" s="282"/>
      <c r="E21" s="282"/>
      <c r="F21" s="282"/>
      <c r="G21" s="282"/>
      <c r="H21" s="283"/>
      <c r="I21" s="283"/>
    </row>
    <row r="22" spans="1:9" s="106" customFormat="1" ht="15.75">
      <c r="A22" s="291" t="s">
        <v>108</v>
      </c>
      <c r="B22" s="292">
        <f>IF(('Cost of Attendance'!D27="n"),'Cost of Attendance'!J15,'Cost of Attendance'!J13)</f>
        <v>45194</v>
      </c>
      <c r="C22" s="287"/>
      <c r="D22" s="287"/>
      <c r="E22" s="287"/>
      <c r="F22" s="287"/>
      <c r="G22" s="287"/>
      <c r="H22" s="288"/>
      <c r="I22" s="288"/>
    </row>
    <row r="23" spans="1:9" s="106" customFormat="1" ht="15.75">
      <c r="A23" s="291" t="s">
        <v>109</v>
      </c>
      <c r="B23" s="292">
        <f>IF(('Cost of Attendance'!D27="n"),'Cost of Attendance'!J16,'Cost of Attendance'!J14)</f>
        <v>45557</v>
      </c>
      <c r="C23" s="287"/>
      <c r="D23" s="287"/>
      <c r="E23" s="287"/>
      <c r="F23" s="287"/>
      <c r="G23" s="287"/>
      <c r="H23" s="288"/>
      <c r="I23" s="288"/>
    </row>
    <row r="24" spans="1:9" ht="15.75" customHeight="1">
      <c r="A24" s="282"/>
      <c r="B24" s="282"/>
      <c r="C24" s="282"/>
      <c r="D24" s="282"/>
      <c r="E24" s="282"/>
      <c r="F24" s="282"/>
      <c r="G24" s="282"/>
      <c r="H24" s="283"/>
      <c r="I24" s="283"/>
    </row>
    <row r="25" spans="1:9" ht="15.75" customHeight="1">
      <c r="A25" s="282" t="s">
        <v>339</v>
      </c>
      <c r="B25" s="282"/>
      <c r="C25" s="282"/>
      <c r="D25" s="282"/>
      <c r="E25" s="282"/>
      <c r="F25" s="282"/>
      <c r="G25" s="282"/>
      <c r="H25" s="283"/>
      <c r="I25" s="283"/>
    </row>
    <row r="26" spans="1:9" s="110" customFormat="1" ht="15.75" customHeight="1">
      <c r="A26" s="283" t="s">
        <v>248</v>
      </c>
      <c r="B26" s="282"/>
      <c r="C26" s="282"/>
      <c r="D26" s="282"/>
      <c r="E26" s="282"/>
      <c r="F26" s="282"/>
      <c r="G26" s="282"/>
      <c r="H26" s="283"/>
      <c r="I26" s="283"/>
    </row>
    <row r="27" spans="1:9" s="106" customFormat="1" ht="15.75" customHeight="1">
      <c r="A27" s="293" t="s">
        <v>89</v>
      </c>
      <c r="B27" s="294" t="s">
        <v>110</v>
      </c>
      <c r="C27" s="287"/>
      <c r="D27" s="287"/>
      <c r="E27" s="287"/>
      <c r="F27" s="287"/>
      <c r="G27" s="287"/>
      <c r="H27" s="288"/>
      <c r="I27" s="288"/>
    </row>
    <row r="28" spans="1:9" s="106" customFormat="1" ht="15.75" customHeight="1">
      <c r="A28" s="285" t="s">
        <v>111</v>
      </c>
      <c r="B28" s="295">
        <f>'Cost of Attendance'!E88</f>
        <v>0</v>
      </c>
      <c r="C28" s="287"/>
      <c r="D28" s="287"/>
      <c r="E28" s="287"/>
      <c r="F28" s="287"/>
      <c r="G28" s="287"/>
      <c r="H28" s="288"/>
      <c r="I28" s="288"/>
    </row>
    <row r="29" spans="1:9" s="106" customFormat="1" ht="15.75" customHeight="1">
      <c r="A29" s="285" t="s">
        <v>112</v>
      </c>
      <c r="B29" s="295">
        <f>'Cost of Attendance'!E89</f>
        <v>0</v>
      </c>
      <c r="C29" s="287"/>
      <c r="D29" s="287"/>
      <c r="E29" s="287"/>
      <c r="F29" s="287"/>
      <c r="G29" s="287"/>
      <c r="H29" s="288"/>
      <c r="I29" s="288"/>
    </row>
    <row r="30" spans="1:9" s="106" customFormat="1" ht="15.75" customHeight="1">
      <c r="A30" s="285" t="s">
        <v>113</v>
      </c>
      <c r="B30" s="295">
        <f>'Cost of Attendance'!E90</f>
        <v>0</v>
      </c>
      <c r="C30" s="287"/>
      <c r="D30" s="287"/>
      <c r="E30" s="287"/>
      <c r="F30" s="287"/>
      <c r="G30" s="287"/>
      <c r="H30" s="288"/>
      <c r="I30" s="288"/>
    </row>
    <row r="31" spans="1:9" s="106" customFormat="1" ht="15.75" customHeight="1" thickBot="1">
      <c r="A31" s="296" t="s">
        <v>87</v>
      </c>
      <c r="B31" s="295">
        <f>'Cost of Attendance'!E91</f>
        <v>0</v>
      </c>
      <c r="C31" s="287"/>
      <c r="D31" s="287"/>
      <c r="E31" s="287"/>
      <c r="F31" s="287"/>
      <c r="G31" s="287"/>
      <c r="H31" s="288"/>
      <c r="I31" s="288"/>
    </row>
    <row r="32" spans="1:9" ht="15.75" customHeight="1" thickTop="1">
      <c r="A32" s="282"/>
      <c r="B32" s="297"/>
      <c r="C32" s="282"/>
      <c r="D32" s="282"/>
      <c r="E32" s="282"/>
      <c r="F32" s="282"/>
      <c r="G32" s="282"/>
      <c r="H32" s="283"/>
      <c r="I32" s="283"/>
    </row>
    <row r="33" spans="1:9" s="110" customFormat="1" ht="15.75" customHeight="1">
      <c r="A33" s="282" t="s">
        <v>114</v>
      </c>
      <c r="B33" s="297"/>
      <c r="C33" s="282"/>
      <c r="D33" s="282"/>
      <c r="E33" s="282"/>
      <c r="F33" s="282"/>
      <c r="G33" s="282"/>
      <c r="H33" s="283"/>
      <c r="I33" s="283"/>
    </row>
    <row r="34" spans="1:9" s="106" customFormat="1" ht="15.75" customHeight="1">
      <c r="A34" s="292">
        <f>'Cost of Attendance'!M13</f>
        <v>45194</v>
      </c>
      <c r="B34" s="295">
        <f>'Cost of Attendance'!N13</f>
        <v>0</v>
      </c>
      <c r="C34" s="287"/>
      <c r="D34" s="287"/>
      <c r="E34" s="287"/>
      <c r="F34" s="287"/>
      <c r="G34" s="287"/>
      <c r="H34" s="288"/>
      <c r="I34" s="288"/>
    </row>
    <row r="35" spans="1:9" s="106" customFormat="1" ht="15.75" customHeight="1">
      <c r="A35" s="292">
        <f>'Cost of Attendance'!M14</f>
        <v>45306</v>
      </c>
      <c r="B35" s="295">
        <f>'Cost of Attendance'!N14</f>
        <v>0</v>
      </c>
      <c r="C35" s="287"/>
      <c r="D35" s="287"/>
      <c r="E35" s="287"/>
      <c r="F35" s="287"/>
      <c r="G35" s="287"/>
      <c r="H35" s="288"/>
      <c r="I35" s="288"/>
    </row>
    <row r="36" spans="1:9" s="106" customFormat="1" ht="15.75" customHeight="1">
      <c r="A36" s="292">
        <f>'Cost of Attendance'!M15</f>
        <v>45411</v>
      </c>
      <c r="B36" s="295">
        <f>'Cost of Attendance'!N15</f>
        <v>0</v>
      </c>
      <c r="C36" s="287"/>
      <c r="D36" s="287"/>
      <c r="E36" s="287"/>
      <c r="F36" s="287"/>
      <c r="G36" s="287"/>
      <c r="H36" s="288"/>
      <c r="I36" s="288"/>
    </row>
    <row r="37" spans="1:9" s="106" customFormat="1" ht="15.75" customHeight="1">
      <c r="A37" s="292">
        <f>IF(('Cost of Attendance'!M16&gt;'Cost of Attendance'!J15),'Cost of Attendance'!M16,"")</f>
      </c>
      <c r="B37" s="295">
        <f>IF(('Cost of Attendance'!N16&gt;'Cost of Attendance'!K15),'Cost of Attendance'!N16,"")</f>
      </c>
      <c r="C37" s="287"/>
      <c r="D37" s="287"/>
      <c r="E37" s="287"/>
      <c r="F37" s="287"/>
      <c r="G37" s="287"/>
      <c r="H37" s="288"/>
      <c r="I37" s="288"/>
    </row>
    <row r="38" spans="1:9" s="106" customFormat="1" ht="15.75" customHeight="1" thickBot="1">
      <c r="A38" s="298" t="s">
        <v>87</v>
      </c>
      <c r="B38" s="295">
        <f>SUM(B34:B37)</f>
        <v>0</v>
      </c>
      <c r="C38" s="287"/>
      <c r="D38" s="287"/>
      <c r="E38" s="287"/>
      <c r="F38" s="287"/>
      <c r="G38" s="287"/>
      <c r="H38" s="288"/>
      <c r="I38" s="288"/>
    </row>
    <row r="39" spans="1:9" ht="15.75" thickTop="1">
      <c r="A39" s="282"/>
      <c r="B39" s="282"/>
      <c r="C39" s="282"/>
      <c r="D39" s="282"/>
      <c r="E39" s="282"/>
      <c r="F39" s="282"/>
      <c r="G39" s="282"/>
      <c r="H39" s="283"/>
      <c r="I39" s="283"/>
    </row>
    <row r="40" spans="1:9" s="110" customFormat="1" ht="15.75">
      <c r="A40" s="282" t="s">
        <v>115</v>
      </c>
      <c r="B40" s="282"/>
      <c r="C40" s="282"/>
      <c r="D40" s="282"/>
      <c r="E40" s="282"/>
      <c r="F40" s="282"/>
      <c r="G40" s="282"/>
      <c r="H40" s="283"/>
      <c r="I40" s="283"/>
    </row>
    <row r="41" spans="1:9" s="110" customFormat="1" ht="15.75">
      <c r="A41" s="282" t="s">
        <v>126</v>
      </c>
      <c r="B41" s="282"/>
      <c r="C41" s="282"/>
      <c r="D41" s="282"/>
      <c r="E41" s="282"/>
      <c r="F41" s="282"/>
      <c r="G41" s="282"/>
      <c r="H41" s="283"/>
      <c r="I41" s="283"/>
    </row>
    <row r="42" spans="1:9" s="110" customFormat="1" ht="15.75">
      <c r="A42" s="282" t="s">
        <v>127</v>
      </c>
      <c r="B42" s="282"/>
      <c r="C42" s="282"/>
      <c r="D42" s="282"/>
      <c r="E42" s="282"/>
      <c r="F42" s="282"/>
      <c r="G42" s="282"/>
      <c r="H42" s="283"/>
      <c r="I42" s="283"/>
    </row>
    <row r="43" spans="1:9" s="110" customFormat="1" ht="15.75">
      <c r="A43" s="283" t="s">
        <v>116</v>
      </c>
      <c r="B43" s="282"/>
      <c r="C43" s="282"/>
      <c r="D43" s="282"/>
      <c r="E43" s="282"/>
      <c r="F43" s="282"/>
      <c r="G43" s="282"/>
      <c r="H43" s="283"/>
      <c r="I43" s="283"/>
    </row>
    <row r="44" spans="1:9" s="110" customFormat="1" ht="15.75">
      <c r="A44" s="282" t="str">
        <f>(IF(('School DATA'!D26&gt;0),'School DATA'!D26,""))&amp;"    "&amp;(IF(('School DATA'!D30&gt;0),'School DATA'!D30,""))</f>
        <v>CP    ME</v>
      </c>
      <c r="B44" s="282"/>
      <c r="C44" s="282"/>
      <c r="D44" s="282"/>
      <c r="E44" s="282"/>
      <c r="F44" s="282"/>
      <c r="G44" s="282"/>
      <c r="H44" s="283"/>
      <c r="I44" s="283"/>
    </row>
    <row r="45" spans="1:9" s="110" customFormat="1" ht="15.75">
      <c r="A45" s="282" t="str">
        <f>(IF(('School DATA'!D27&gt;0),'School DATA'!D27,""))&amp;"    "&amp;(IF(('School DATA'!D31&gt;0),'School DATA'!D31,""))</f>
        <v>CW    GP</v>
      </c>
      <c r="B45" s="282"/>
      <c r="C45" s="282"/>
      <c r="D45" s="282"/>
      <c r="E45" s="282"/>
      <c r="F45" s="282"/>
      <c r="G45" s="282"/>
      <c r="H45" s="283"/>
      <c r="I45" s="283"/>
    </row>
    <row r="46" spans="1:9" s="110" customFormat="1" ht="15.75">
      <c r="A46" s="282" t="str">
        <f>(IF(('School DATA'!D28&gt;0),'School DATA'!D28,""))&amp;"    "&amp;(IF(('School DATA'!D32&gt;0),'School DATA'!D32,""))</f>
        <v>DO    </v>
      </c>
      <c r="B46" s="282"/>
      <c r="C46" s="282"/>
      <c r="D46" s="282"/>
      <c r="E46" s="282"/>
      <c r="F46" s="282"/>
      <c r="G46" s="282"/>
      <c r="H46" s="283"/>
      <c r="I46" s="283"/>
    </row>
    <row r="47" spans="1:9" s="110" customFormat="1" ht="15.75">
      <c r="A47" s="282" t="str">
        <f>(IF(('School DATA'!D29&gt;0),'School DATA'!D29,""))&amp;"    "&amp;(IF(('School DATA'!D33&gt;0),'School DATA'!D33,""))</f>
        <v>SD    </v>
      </c>
      <c r="B47" s="282"/>
      <c r="C47" s="282"/>
      <c r="D47" s="282"/>
      <c r="E47" s="282"/>
      <c r="F47" s="282"/>
      <c r="G47" s="282"/>
      <c r="H47" s="283"/>
      <c r="I47" s="283"/>
    </row>
    <row r="48" spans="1:9" s="110" customFormat="1" ht="15.75">
      <c r="A48" s="283"/>
      <c r="B48" s="283"/>
      <c r="C48" s="282"/>
      <c r="D48" s="282"/>
      <c r="E48" s="282"/>
      <c r="F48" s="282"/>
      <c r="G48" s="282"/>
      <c r="H48" s="283"/>
      <c r="I48" s="283"/>
    </row>
    <row r="49" spans="1:9" s="110" customFormat="1" ht="15.75">
      <c r="A49" s="282" t="s">
        <v>117</v>
      </c>
      <c r="B49" s="282"/>
      <c r="C49" s="282"/>
      <c r="D49" s="282"/>
      <c r="E49" s="282"/>
      <c r="F49" s="282"/>
      <c r="G49" s="282"/>
      <c r="H49" s="283"/>
      <c r="I49" s="283"/>
    </row>
    <row r="50" spans="1:9" s="110" customFormat="1" ht="15.75">
      <c r="A50" s="283"/>
      <c r="B50" s="282"/>
      <c r="C50" s="282"/>
      <c r="D50" s="282"/>
      <c r="E50" s="282"/>
      <c r="F50" s="282"/>
      <c r="G50" s="282"/>
      <c r="H50" s="283"/>
      <c r="I50" s="283"/>
    </row>
    <row r="51" spans="1:9" s="110" customFormat="1" ht="15.75">
      <c r="A51" s="283"/>
      <c r="B51" s="282"/>
      <c r="C51" s="282"/>
      <c r="D51" s="282"/>
      <c r="E51" s="282"/>
      <c r="F51" s="282"/>
      <c r="G51" s="282"/>
      <c r="H51" s="283"/>
      <c r="I51" s="283"/>
    </row>
    <row r="52" spans="1:9" ht="15">
      <c r="A52" s="283" t="s">
        <v>125</v>
      </c>
      <c r="B52" s="299">
        <f ca="1">TODAY()</f>
        <v>45098</v>
      </c>
      <c r="C52" s="282"/>
      <c r="D52" s="282"/>
      <c r="E52" s="282"/>
      <c r="F52" s="282"/>
      <c r="G52" s="282"/>
      <c r="H52" s="283"/>
      <c r="I52" s="283"/>
    </row>
    <row r="53" spans="1:9" ht="15">
      <c r="A53" s="282"/>
      <c r="B53" s="282"/>
      <c r="C53" s="282"/>
      <c r="D53" s="282"/>
      <c r="E53" s="282"/>
      <c r="F53" s="282"/>
      <c r="G53" s="282"/>
      <c r="H53" s="283"/>
      <c r="I53" s="283"/>
    </row>
    <row r="54" spans="1:9" ht="15">
      <c r="A54" s="303" t="s">
        <v>338</v>
      </c>
      <c r="B54" s="282"/>
      <c r="C54" s="300"/>
      <c r="D54" s="300"/>
      <c r="E54" s="300"/>
      <c r="F54" s="282"/>
      <c r="G54" s="282"/>
      <c r="H54" s="283"/>
      <c r="I54" s="283"/>
    </row>
    <row r="55" spans="1:7" ht="12.75">
      <c r="A55" s="95"/>
      <c r="B55" s="95"/>
      <c r="C55" s="95"/>
      <c r="D55" s="95"/>
      <c r="E55" s="95"/>
      <c r="F55" s="95"/>
      <c r="G55" s="95"/>
    </row>
    <row r="56" spans="3:7" ht="12.75">
      <c r="C56" s="95"/>
      <c r="D56" s="95"/>
      <c r="E56" s="95"/>
      <c r="F56" s="95"/>
      <c r="G56" s="95"/>
    </row>
    <row r="57" spans="3:7" ht="12.75">
      <c r="C57" s="95"/>
      <c r="D57" s="95"/>
      <c r="E57" s="95"/>
      <c r="F57" s="95"/>
      <c r="G57" s="95"/>
    </row>
    <row r="58" spans="3:7" ht="12.75">
      <c r="C58" s="95"/>
      <c r="D58" s="95"/>
      <c r="E58" s="95"/>
      <c r="F58" s="95"/>
      <c r="G58" s="95"/>
    </row>
  </sheetData>
  <sheetProtection password="8B9F" sheet="1" selectLockedCells="1" selectUnlockedCells="1"/>
  <mergeCells count="2">
    <mergeCell ref="A19:B19"/>
    <mergeCell ref="A18:B18"/>
  </mergeCells>
  <printOptions/>
  <pageMargins left="0.7" right="0.7" top="0.75" bottom="0.75" header="0.3" footer="0.3"/>
  <pageSetup fitToHeight="1" fitToWidth="1" horizontalDpi="600" verticalDpi="600" orientation="portrait" scale="74" r:id="rId2"/>
  <drawing r:id="rId1"/>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A1:G58"/>
  <sheetViews>
    <sheetView showGridLines="0" zoomScale="75" zoomScaleNormal="75" zoomScaleSheetLayoutView="90" workbookViewId="0" topLeftCell="A1">
      <selection activeCell="D13" sqref="D13"/>
    </sheetView>
  </sheetViews>
  <sheetFormatPr defaultColWidth="9.140625" defaultRowHeight="12.75"/>
  <cols>
    <col min="1" max="1" width="29.28125" style="96" customWidth="1"/>
    <col min="2" max="2" width="61.7109375" style="96" customWidth="1"/>
    <col min="3" max="16384" width="9.140625" style="96" customWidth="1"/>
  </cols>
  <sheetData>
    <row r="1" spans="1:7" ht="15.75">
      <c r="A1" s="94" t="str">
        <f>'Cost of Attendance'!C15&amp;" "&amp;'Cost of Attendance'!C14</f>
        <v> </v>
      </c>
      <c r="B1" s="95"/>
      <c r="C1" s="95"/>
      <c r="D1" s="95"/>
      <c r="E1" s="95"/>
      <c r="F1" s="95"/>
      <c r="G1" s="95"/>
    </row>
    <row r="2" spans="1:7" ht="15.75">
      <c r="A2" s="97">
        <f>'Cost of Attendance'!C16</f>
        <v>0</v>
      </c>
      <c r="B2" s="95"/>
      <c r="C2" s="95"/>
      <c r="D2" s="95"/>
      <c r="E2" s="95"/>
      <c r="F2" s="95"/>
      <c r="G2" s="95"/>
    </row>
    <row r="3" spans="1:7" ht="15.75">
      <c r="A3" s="97">
        <f>'Cost of Attendance'!C17</f>
        <v>0</v>
      </c>
      <c r="B3" s="95"/>
      <c r="C3" s="95"/>
      <c r="D3" s="95"/>
      <c r="E3" s="95"/>
      <c r="F3" s="95"/>
      <c r="G3" s="95"/>
    </row>
    <row r="4" spans="1:7" ht="15.75">
      <c r="A4" s="97">
        <f>'Cost of Attendance'!C18</f>
        <v>0</v>
      </c>
      <c r="B4" s="95"/>
      <c r="C4" s="95"/>
      <c r="D4" s="95"/>
      <c r="E4" s="95"/>
      <c r="F4" s="95"/>
      <c r="G4" s="95"/>
    </row>
    <row r="5" spans="1:7" ht="15.75">
      <c r="A5" s="97">
        <f>'Cost of Attendance'!C19</f>
        <v>0</v>
      </c>
      <c r="B5" s="95"/>
      <c r="C5" s="95"/>
      <c r="D5" s="95"/>
      <c r="E5" s="95"/>
      <c r="F5" s="95"/>
      <c r="G5" s="95"/>
    </row>
    <row r="6" spans="1:7" ht="15.75">
      <c r="A6" s="97">
        <f>'Cost of Attendance'!C20</f>
        <v>0</v>
      </c>
      <c r="B6" s="95"/>
      <c r="C6" s="95"/>
      <c r="D6" s="95"/>
      <c r="E6" s="95"/>
      <c r="F6" s="95"/>
      <c r="G6" s="95"/>
    </row>
    <row r="7" spans="1:7" ht="12.75">
      <c r="A7" s="98"/>
      <c r="B7" s="95"/>
      <c r="C7" s="95"/>
      <c r="D7" s="95"/>
      <c r="E7" s="95"/>
      <c r="F7" s="95"/>
      <c r="G7" s="95"/>
    </row>
    <row r="8" spans="1:7" ht="12.75">
      <c r="A8" s="99"/>
      <c r="B8" s="95"/>
      <c r="C8" s="95"/>
      <c r="D8" s="95"/>
      <c r="E8" s="95"/>
      <c r="F8" s="95"/>
      <c r="G8" s="95"/>
    </row>
    <row r="9" spans="2:7" ht="12.75">
      <c r="B9" s="95"/>
      <c r="C9" s="95"/>
      <c r="D9" s="95"/>
      <c r="E9" s="95"/>
      <c r="F9" s="95"/>
      <c r="G9" s="95"/>
    </row>
    <row r="10" spans="1:7" ht="12.75">
      <c r="A10" s="95"/>
      <c r="B10" s="95"/>
      <c r="C10" s="95"/>
      <c r="D10" s="95"/>
      <c r="E10" s="95"/>
      <c r="F10" s="95"/>
      <c r="G10" s="95"/>
    </row>
    <row r="11" spans="1:7" ht="23.25">
      <c r="A11" s="100" t="s">
        <v>101</v>
      </c>
      <c r="B11" s="95"/>
      <c r="C11" s="95"/>
      <c r="D11" s="95"/>
      <c r="E11" s="95"/>
      <c r="F11" s="95"/>
      <c r="G11" s="95"/>
    </row>
    <row r="12" spans="1:7" ht="23.25">
      <c r="A12" s="101" t="str">
        <f>'Cost of Attendance'!C4</f>
        <v>for Academic Year 2023/24</v>
      </c>
      <c r="B12" s="95"/>
      <c r="C12" s="95"/>
      <c r="D12" s="95"/>
      <c r="E12" s="95"/>
      <c r="F12" s="95"/>
      <c r="G12" s="95"/>
    </row>
    <row r="13" spans="1:7" ht="12.75">
      <c r="A13" s="95"/>
      <c r="B13" s="95"/>
      <c r="C13" s="95"/>
      <c r="D13" s="95"/>
      <c r="E13" s="95"/>
      <c r="F13" s="95"/>
      <c r="G13" s="95"/>
    </row>
    <row r="14" spans="1:7" ht="12.75">
      <c r="A14" s="95"/>
      <c r="B14" s="95"/>
      <c r="C14" s="95"/>
      <c r="D14" s="95"/>
      <c r="E14" s="95"/>
      <c r="F14" s="95"/>
      <c r="G14" s="95"/>
    </row>
    <row r="15" spans="1:7" ht="18.75">
      <c r="A15" s="102" t="s">
        <v>102</v>
      </c>
      <c r="B15" s="95"/>
      <c r="C15" s="95"/>
      <c r="D15" s="95"/>
      <c r="E15" s="95"/>
      <c r="F15" s="95"/>
      <c r="G15" s="95"/>
    </row>
    <row r="16" spans="1:7" ht="12.75">
      <c r="A16" s="95"/>
      <c r="B16" s="95"/>
      <c r="C16" s="95"/>
      <c r="D16" s="95"/>
      <c r="E16" s="95"/>
      <c r="F16" s="95"/>
      <c r="G16" s="95"/>
    </row>
    <row r="17" spans="1:7" s="106" customFormat="1" ht="15.75">
      <c r="A17" s="103" t="s">
        <v>103</v>
      </c>
      <c r="B17" s="104" t="str">
        <f>'Cost of Attendance'!C15&amp;" "&amp;'Cost of Attendance'!C14</f>
        <v> </v>
      </c>
      <c r="C17" s="105"/>
      <c r="D17" s="105"/>
      <c r="E17" s="105"/>
      <c r="F17" s="105"/>
      <c r="G17" s="105"/>
    </row>
    <row r="18" spans="1:7" s="106" customFormat="1" ht="15.75">
      <c r="A18" s="103" t="s">
        <v>104</v>
      </c>
      <c r="B18" s="107">
        <f>'Cost of Attendance'!C22</f>
        <v>0</v>
      </c>
      <c r="C18" s="105"/>
      <c r="D18" s="105"/>
      <c r="E18" s="105"/>
      <c r="F18" s="105"/>
      <c r="G18" s="105"/>
    </row>
    <row r="19" spans="1:7" s="106" customFormat="1" ht="15.75">
      <c r="A19" s="103" t="s">
        <v>105</v>
      </c>
      <c r="B19" s="108">
        <f>'Cost of Attendance'!C24</f>
        <v>0</v>
      </c>
      <c r="C19" s="105"/>
      <c r="D19" s="105"/>
      <c r="E19" s="105"/>
      <c r="F19" s="105"/>
      <c r="G19" s="105"/>
    </row>
    <row r="20" spans="1:7" ht="12.75">
      <c r="A20" s="95"/>
      <c r="B20" s="95"/>
      <c r="C20" s="95"/>
      <c r="D20" s="95"/>
      <c r="E20" s="95"/>
      <c r="F20" s="95"/>
      <c r="G20" s="95"/>
    </row>
    <row r="21" spans="1:7" s="110" customFormat="1" ht="15.75">
      <c r="A21" s="109" t="s">
        <v>106</v>
      </c>
      <c r="B21" s="109"/>
      <c r="C21" s="109"/>
      <c r="D21" s="109"/>
      <c r="E21" s="109"/>
      <c r="F21" s="109"/>
      <c r="G21" s="109"/>
    </row>
    <row r="22" spans="1:7" s="110" customFormat="1" ht="15.75">
      <c r="A22" s="109"/>
      <c r="B22" s="109"/>
      <c r="C22" s="109"/>
      <c r="D22" s="109"/>
      <c r="E22" s="109"/>
      <c r="F22" s="109"/>
      <c r="G22" s="109"/>
    </row>
    <row r="23" spans="1:7" s="110" customFormat="1" ht="15.75">
      <c r="A23" s="111" t="s">
        <v>180</v>
      </c>
      <c r="B23" s="109"/>
      <c r="C23" s="109"/>
      <c r="D23" s="109"/>
      <c r="E23" s="109"/>
      <c r="F23" s="109"/>
      <c r="G23" s="109"/>
    </row>
    <row r="24" spans="1:7" s="110" customFormat="1" ht="15.75">
      <c r="A24" s="109" t="s">
        <v>281</v>
      </c>
      <c r="B24" s="109"/>
      <c r="C24" s="109"/>
      <c r="D24" s="109"/>
      <c r="E24" s="109"/>
      <c r="F24" s="109"/>
      <c r="G24" s="109"/>
    </row>
    <row r="25" spans="1:7" s="110" customFormat="1" ht="15.75">
      <c r="A25" s="109"/>
      <c r="B25" s="109"/>
      <c r="C25" s="109"/>
      <c r="D25" s="109"/>
      <c r="E25" s="109"/>
      <c r="F25" s="109"/>
      <c r="G25" s="109"/>
    </row>
    <row r="26" spans="1:7" s="110" customFormat="1" ht="15.75">
      <c r="A26" s="109" t="s">
        <v>181</v>
      </c>
      <c r="B26" s="109"/>
      <c r="C26" s="109"/>
      <c r="D26" s="109"/>
      <c r="E26" s="109"/>
      <c r="F26" s="109"/>
      <c r="G26" s="109"/>
    </row>
    <row r="27" spans="1:7" s="106" customFormat="1" ht="15.75">
      <c r="A27" s="112" t="s">
        <v>108</v>
      </c>
      <c r="B27" s="113">
        <f>IF(('Cost of Attendance'!D27="n"),'Cost of Attendance'!J15,'Cost of Attendance'!J13)</f>
        <v>45194</v>
      </c>
      <c r="C27" s="105"/>
      <c r="D27" s="105"/>
      <c r="E27" s="105"/>
      <c r="F27" s="105"/>
      <c r="G27" s="105"/>
    </row>
    <row r="28" spans="1:7" s="106" customFormat="1" ht="15.75">
      <c r="A28" s="112" t="s">
        <v>109</v>
      </c>
      <c r="B28" s="113">
        <f>IF(('Cost of Attendance'!D27="n"),'Cost of Attendance'!J16,'Cost of Attendance'!J14)</f>
        <v>45557</v>
      </c>
      <c r="C28" s="105"/>
      <c r="D28" s="105"/>
      <c r="E28" s="105"/>
      <c r="F28" s="105"/>
      <c r="G28" s="105"/>
    </row>
    <row r="29" spans="1:7" ht="12.75">
      <c r="A29" s="95"/>
      <c r="B29" s="95"/>
      <c r="C29" s="95"/>
      <c r="D29" s="95"/>
      <c r="E29" s="95"/>
      <c r="F29" s="95"/>
      <c r="G29" s="95"/>
    </row>
    <row r="30" spans="1:7" ht="15.75">
      <c r="A30" s="109" t="s">
        <v>280</v>
      </c>
      <c r="B30" s="95"/>
      <c r="C30" s="95"/>
      <c r="D30" s="95"/>
      <c r="E30" s="95"/>
      <c r="F30" s="95"/>
      <c r="G30" s="95"/>
    </row>
    <row r="31" spans="1:7" s="106" customFormat="1" ht="16.5" thickBot="1">
      <c r="A31" s="115" t="s">
        <v>182</v>
      </c>
      <c r="B31" s="114">
        <f>'Cost of Attendance'!E91</f>
        <v>0</v>
      </c>
      <c r="C31" s="105"/>
      <c r="D31" s="105"/>
      <c r="E31" s="105"/>
      <c r="F31" s="105"/>
      <c r="G31" s="105"/>
    </row>
    <row r="32" spans="1:7" ht="13.5" thickTop="1">
      <c r="A32" s="95"/>
      <c r="B32" s="118"/>
      <c r="C32" s="95"/>
      <c r="D32" s="95"/>
      <c r="E32" s="95"/>
      <c r="F32" s="95"/>
      <c r="G32" s="95"/>
    </row>
    <row r="33" spans="1:7" ht="15.75">
      <c r="A33" s="109" t="s">
        <v>114</v>
      </c>
      <c r="B33" s="118"/>
      <c r="C33" s="95"/>
      <c r="D33" s="95"/>
      <c r="E33" s="95"/>
      <c r="F33" s="95"/>
      <c r="G33" s="95"/>
    </row>
    <row r="34" spans="1:7" s="106" customFormat="1" ht="15.75">
      <c r="A34" s="113">
        <f>'Cost of Attendance'!M13</f>
        <v>45194</v>
      </c>
      <c r="B34" s="114">
        <f>B31</f>
        <v>0</v>
      </c>
      <c r="C34" s="105"/>
      <c r="D34" s="105"/>
      <c r="E34" s="105"/>
      <c r="F34" s="105"/>
      <c r="G34" s="105"/>
    </row>
    <row r="35" spans="1:7" s="106" customFormat="1" ht="15.75">
      <c r="A35" s="113"/>
      <c r="B35" s="114"/>
      <c r="C35" s="105"/>
      <c r="D35" s="105"/>
      <c r="E35" s="105"/>
      <c r="F35" s="105"/>
      <c r="G35" s="105"/>
    </row>
    <row r="36" spans="1:7" s="106" customFormat="1" ht="15.75">
      <c r="A36" s="113"/>
      <c r="B36" s="114"/>
      <c r="C36" s="105"/>
      <c r="D36" s="105"/>
      <c r="E36" s="105"/>
      <c r="F36" s="105"/>
      <c r="G36" s="105"/>
    </row>
    <row r="37" spans="1:7" s="106" customFormat="1" ht="15.75">
      <c r="A37" s="113"/>
      <c r="B37" s="114"/>
      <c r="C37" s="105"/>
      <c r="D37" s="105"/>
      <c r="E37" s="105"/>
      <c r="F37" s="105"/>
      <c r="G37" s="105"/>
    </row>
    <row r="38" spans="1:7" s="106" customFormat="1" ht="16.5" thickBot="1">
      <c r="A38" s="116" t="s">
        <v>87</v>
      </c>
      <c r="B38" s="114">
        <f>SUM(B34:B37)</f>
        <v>0</v>
      </c>
      <c r="C38" s="105"/>
      <c r="D38" s="105"/>
      <c r="E38" s="105"/>
      <c r="F38" s="105"/>
      <c r="G38" s="105"/>
    </row>
    <row r="39" spans="1:7" ht="13.5" thickTop="1">
      <c r="A39" s="95"/>
      <c r="B39" s="95"/>
      <c r="C39" s="95"/>
      <c r="D39" s="95"/>
      <c r="E39" s="95"/>
      <c r="F39" s="95"/>
      <c r="G39" s="95"/>
    </row>
    <row r="40" spans="1:7" s="110" customFormat="1" ht="15.75">
      <c r="A40" s="109" t="s">
        <v>115</v>
      </c>
      <c r="B40" s="109"/>
      <c r="C40" s="109"/>
      <c r="D40" s="109"/>
      <c r="E40" s="109"/>
      <c r="F40" s="109"/>
      <c r="G40" s="109"/>
    </row>
    <row r="41" spans="1:7" s="110" customFormat="1" ht="15.75">
      <c r="A41" s="109" t="s">
        <v>126</v>
      </c>
      <c r="B41" s="109"/>
      <c r="C41" s="109"/>
      <c r="D41" s="109"/>
      <c r="E41" s="109"/>
      <c r="F41" s="109"/>
      <c r="G41" s="109"/>
    </row>
    <row r="42" spans="1:7" s="110" customFormat="1" ht="15.75">
      <c r="A42" s="109" t="s">
        <v>127</v>
      </c>
      <c r="B42" s="109"/>
      <c r="C42" s="109"/>
      <c r="D42" s="109"/>
      <c r="E42" s="109"/>
      <c r="F42" s="109"/>
      <c r="G42" s="109"/>
    </row>
    <row r="43" spans="1:7" s="110" customFormat="1" ht="15.75">
      <c r="A43" s="110" t="s">
        <v>116</v>
      </c>
      <c r="B43" s="109"/>
      <c r="C43" s="109"/>
      <c r="D43" s="109"/>
      <c r="E43" s="109"/>
      <c r="F43" s="109"/>
      <c r="G43" s="109"/>
    </row>
    <row r="44" spans="1:7" s="110" customFormat="1" ht="15.75">
      <c r="A44" s="109" t="str">
        <f>(IF(('School DATA'!D26&gt;0),'School DATA'!D26,""))&amp;"    "&amp;(IF(('School DATA'!D30&gt;0),'School DATA'!D30,""))</f>
        <v>CP    ME</v>
      </c>
      <c r="B44" s="109"/>
      <c r="C44" s="109"/>
      <c r="D44" s="109"/>
      <c r="E44" s="109"/>
      <c r="F44" s="109"/>
      <c r="G44" s="109"/>
    </row>
    <row r="45" spans="1:7" s="110" customFormat="1" ht="15.75">
      <c r="A45" s="109" t="str">
        <f>(IF(('School DATA'!D27&gt;0),'School DATA'!D27,""))&amp;"    "&amp;(IF(('School DATA'!D31&gt;0),'School DATA'!D31,""))</f>
        <v>CW    GP</v>
      </c>
      <c r="B45" s="109"/>
      <c r="C45" s="109"/>
      <c r="D45" s="109"/>
      <c r="E45" s="109"/>
      <c r="F45" s="109"/>
      <c r="G45" s="109"/>
    </row>
    <row r="46" spans="1:7" s="110" customFormat="1" ht="15.75">
      <c r="A46" s="109" t="str">
        <f>(IF(('School DATA'!D28&gt;0),'School DATA'!D28,""))&amp;"    "&amp;(IF(('School DATA'!D32&gt;0),'School DATA'!D32,""))</f>
        <v>DO    </v>
      </c>
      <c r="B46" s="109"/>
      <c r="C46" s="109"/>
      <c r="D46" s="109"/>
      <c r="E46" s="109"/>
      <c r="F46" s="109"/>
      <c r="G46" s="109"/>
    </row>
    <row r="47" spans="1:7" s="110" customFormat="1" ht="15.75">
      <c r="A47" s="109" t="str">
        <f>(IF(('School DATA'!D29&gt;0),'School DATA'!D29,""))&amp;"    "&amp;(IF(('School DATA'!D33&gt;0),'School DATA'!D33,""))</f>
        <v>SD    </v>
      </c>
      <c r="B47" s="109"/>
      <c r="C47" s="109"/>
      <c r="D47" s="109"/>
      <c r="E47" s="109"/>
      <c r="F47" s="109"/>
      <c r="G47" s="109"/>
    </row>
    <row r="48" spans="3:7" s="110" customFormat="1" ht="15.75">
      <c r="C48" s="109"/>
      <c r="D48" s="109"/>
      <c r="E48" s="109"/>
      <c r="F48" s="109"/>
      <c r="G48" s="109"/>
    </row>
    <row r="49" spans="1:7" s="110" customFormat="1" ht="15.75">
      <c r="A49" s="109" t="s">
        <v>117</v>
      </c>
      <c r="B49" s="109"/>
      <c r="C49" s="109"/>
      <c r="D49" s="109"/>
      <c r="E49" s="109"/>
      <c r="F49" s="109"/>
      <c r="G49" s="109"/>
    </row>
    <row r="50" spans="2:7" s="110" customFormat="1" ht="15.75">
      <c r="B50" s="109"/>
      <c r="C50" s="109"/>
      <c r="D50" s="109"/>
      <c r="E50" s="109"/>
      <c r="F50" s="109"/>
      <c r="G50" s="109"/>
    </row>
    <row r="51" spans="2:7" s="110" customFormat="1" ht="15.75">
      <c r="B51" s="109"/>
      <c r="C51" s="109"/>
      <c r="D51" s="109"/>
      <c r="E51" s="109"/>
      <c r="F51" s="109"/>
      <c r="G51" s="109"/>
    </row>
    <row r="52" spans="1:7" ht="15.75">
      <c r="A52" s="110" t="s">
        <v>125</v>
      </c>
      <c r="B52" s="117">
        <f ca="1">TODAY()</f>
        <v>45098</v>
      </c>
      <c r="C52" s="95"/>
      <c r="D52" s="95"/>
      <c r="E52" s="95"/>
      <c r="F52" s="95"/>
      <c r="G52" s="95"/>
    </row>
    <row r="53" spans="1:7" ht="15.75">
      <c r="A53" s="109"/>
      <c r="B53" s="95"/>
      <c r="C53" s="95"/>
      <c r="D53" s="95"/>
      <c r="E53" s="95"/>
      <c r="F53" s="95"/>
      <c r="G53" s="95"/>
    </row>
    <row r="54" spans="1:7" ht="15.75">
      <c r="A54" s="109"/>
      <c r="B54" s="95"/>
      <c r="C54" s="95"/>
      <c r="D54" s="95"/>
      <c r="E54" s="95"/>
      <c r="F54" s="95"/>
      <c r="G54" s="95"/>
    </row>
    <row r="55" spans="1:7" ht="15.75">
      <c r="A55" s="109"/>
      <c r="B55" s="95"/>
      <c r="C55" s="95"/>
      <c r="D55" s="95"/>
      <c r="E55" s="95"/>
      <c r="F55" s="95"/>
      <c r="G55" s="95"/>
    </row>
    <row r="56" spans="1:7" ht="15.75">
      <c r="A56" s="109"/>
      <c r="B56" s="95"/>
      <c r="C56" s="95"/>
      <c r="D56" s="95"/>
      <c r="E56" s="95"/>
      <c r="F56" s="95"/>
      <c r="G56" s="95"/>
    </row>
    <row r="57" spans="1:7" ht="15.75">
      <c r="A57" s="109"/>
      <c r="B57" s="95"/>
      <c r="C57" s="95"/>
      <c r="D57" s="95"/>
      <c r="E57" s="95"/>
      <c r="F57" s="95"/>
      <c r="G57" s="95"/>
    </row>
    <row r="58" spans="1:7" ht="12.75">
      <c r="A58" s="95"/>
      <c r="B58" s="95"/>
      <c r="C58" s="95"/>
      <c r="D58" s="95"/>
      <c r="E58" s="95"/>
      <c r="F58" s="95"/>
      <c r="G58" s="95"/>
    </row>
  </sheetData>
  <sheetProtection password="DFD0" sheet="1" objects="1" scenarios="1" selectLockedCells="1"/>
  <printOptions/>
  <pageMargins left="0.7" right="0.7" top="0.75" bottom="0.75" header="0.3" footer="0.3"/>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Ruane,G</dc:creator>
  <cp:keywords/>
  <dc:description/>
  <cp:lastModifiedBy>Glenn Ruane</cp:lastModifiedBy>
  <cp:lastPrinted>2021-06-23T16:27:48Z</cp:lastPrinted>
  <dcterms:created xsi:type="dcterms:W3CDTF">2009-04-02T10:59:38Z</dcterms:created>
  <dcterms:modified xsi:type="dcterms:W3CDTF">2023-06-21T15:14:13Z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