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codeName="ThisWorkbook" hidePivotFieldList="1" defaultThemeVersion="124226"/>
  <mc:AlternateContent xmlns:mc="http://schemas.openxmlformats.org/markup-compatibility/2006">
    <mc:Choice Requires="x15">
      <x15ac:absPath xmlns:x15ac="http://schemas.microsoft.com/office/spreadsheetml/2010/11/ac" url="C:\Users\RUANE\Desktop\2024_5 Federal Loan Forms\"/>
    </mc:Choice>
  </mc:AlternateContent>
  <xr:revisionPtr revIDLastSave="0" documentId="8_{49DE1D27-F998-4601-A4C5-91BE9C529C2B}" xr6:coauthVersionLast="47" xr6:coauthVersionMax="47" xr10:uidLastSave="{00000000-0000-0000-0000-000000000000}"/>
  <bookViews>
    <workbookView xWindow="-120" yWindow="-120" windowWidth="29040" windowHeight="15840" tabRatio="676"/>
  </bookViews>
  <sheets>
    <sheet name="Home" sheetId="15" r:id="rId1"/>
    <sheet name="Introduction" sheetId="11" r:id="rId2"/>
    <sheet name="Basis of Costs" sheetId="12" r:id="rId3"/>
    <sheet name="Cost of Attendance" sheetId="1" r:id="rId4"/>
    <sheet name="School DATA" sheetId="14" state="hidden" r:id="rId5"/>
    <sheet name="Visa Letter (Office use only)" sheetId="10" r:id="rId6"/>
    <sheet name="Private (Office use only)" sheetId="13" state="hidden" r:id="rId7"/>
  </sheets>
  <definedNames>
    <definedName name="_xlnm._FilterDatabase" localSheetId="3" hidden="1">'Cost of Attendance'!$G$8:$G$10</definedName>
    <definedName name="_xlnm._FilterDatabase" localSheetId="4" hidden="1">'School DATA'!#REF!</definedName>
    <definedName name="_xlnm.Print_Area" localSheetId="3">'Cost of Attendance'!$A$1:$E$99</definedName>
    <definedName name="_xlnm.Print_Area" localSheetId="6">'Private (Office use only)'!$A$1:$B$52</definedName>
    <definedName name="_xlnm.Print_Area" localSheetId="5">'Visa Letter (Office use only)'!$A$1:$C$54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18" i="14"/>
  <c r="C4" i="1"/>
  <c r="A12" i="13" s="1"/>
  <c r="E7" i="14"/>
  <c r="J16" i="1" s="1"/>
  <c r="E7" i="1"/>
  <c r="D54" i="1"/>
  <c r="A46" i="10"/>
  <c r="J42" i="14"/>
  <c r="I42" i="14"/>
  <c r="E25" i="14"/>
  <c r="C56" i="14"/>
  <c r="C57" i="14"/>
  <c r="D57" i="14"/>
  <c r="E57" i="14"/>
  <c r="J7" i="14"/>
  <c r="I11" i="14"/>
  <c r="I16" i="14"/>
  <c r="J19" i="14"/>
  <c r="J25" i="14"/>
  <c r="D41" i="14"/>
  <c r="E8" i="1"/>
  <c r="C86" i="1"/>
  <c r="D7" i="1"/>
  <c r="G50" i="1"/>
  <c r="E11" i="14"/>
  <c r="D9" i="1" s="1"/>
  <c r="D51" i="1"/>
  <c r="D52" i="1"/>
  <c r="D53" i="1"/>
  <c r="D55" i="1"/>
  <c r="E55" i="1"/>
  <c r="D56" i="1"/>
  <c r="E56" i="1"/>
  <c r="D57" i="1"/>
  <c r="E57" i="1"/>
  <c r="I33" i="1"/>
  <c r="I34" i="1"/>
  <c r="I35" i="1"/>
  <c r="I36" i="1"/>
  <c r="K60" i="1"/>
  <c r="L52" i="1"/>
  <c r="M52" i="1"/>
  <c r="G24" i="1"/>
  <c r="G28" i="1" s="1"/>
  <c r="K62" i="1" s="1"/>
  <c r="G25" i="1"/>
  <c r="G26" i="1"/>
  <c r="G23" i="1"/>
  <c r="G27" i="1"/>
  <c r="H24" i="1"/>
  <c r="I24" i="1"/>
  <c r="H25" i="1"/>
  <c r="I25" i="1"/>
  <c r="H26" i="1"/>
  <c r="I26" i="1"/>
  <c r="H27" i="1"/>
  <c r="I23" i="1"/>
  <c r="I27" i="1"/>
  <c r="L53" i="1"/>
  <c r="M53" i="1"/>
  <c r="J78" i="1"/>
  <c r="C90" i="1" s="1"/>
  <c r="C97" i="1" s="1"/>
  <c r="L54" i="1"/>
  <c r="M54" i="1"/>
  <c r="C75" i="1"/>
  <c r="C73" i="1"/>
  <c r="C72" i="1"/>
  <c r="A2" i="10"/>
  <c r="A3" i="10"/>
  <c r="A4" i="10"/>
  <c r="A5" i="10"/>
  <c r="A6" i="10"/>
  <c r="A7" i="10"/>
  <c r="B15" i="10"/>
  <c r="B16" i="10"/>
  <c r="B17" i="10"/>
  <c r="J15" i="1"/>
  <c r="B22" i="10"/>
  <c r="J13" i="1"/>
  <c r="J14" i="1"/>
  <c r="D10" i="1"/>
  <c r="J41" i="1"/>
  <c r="M13" i="1"/>
  <c r="A34" i="13" s="1"/>
  <c r="M14" i="1"/>
  <c r="M15" i="1"/>
  <c r="L13" i="1" s="1"/>
  <c r="A36" i="10"/>
  <c r="M16" i="1"/>
  <c r="N16" i="1"/>
  <c r="B37" i="10" s="1"/>
  <c r="A44" i="10"/>
  <c r="A45" i="10"/>
  <c r="A47" i="10"/>
  <c r="B52" i="10"/>
  <c r="A1" i="13"/>
  <c r="A2" i="13"/>
  <c r="A3" i="13"/>
  <c r="A4" i="13"/>
  <c r="A5" i="13"/>
  <c r="A6" i="13"/>
  <c r="B17" i="13"/>
  <c r="B18" i="13"/>
  <c r="B19" i="13"/>
  <c r="A44" i="13"/>
  <c r="A45" i="13"/>
  <c r="A46" i="13"/>
  <c r="A47" i="13"/>
  <c r="B52" i="13"/>
  <c r="E22" i="14"/>
  <c r="E19" i="14"/>
  <c r="E20" i="14"/>
  <c r="E21" i="14"/>
  <c r="E23" i="14"/>
  <c r="E24" i="14"/>
  <c r="K27" i="1"/>
  <c r="L27" i="1"/>
  <c r="M27" i="1"/>
  <c r="C28" i="1"/>
  <c r="C29" i="1"/>
  <c r="I32" i="1"/>
  <c r="D43" i="1"/>
  <c r="D44" i="1"/>
  <c r="D45" i="1"/>
  <c r="D46" i="1"/>
  <c r="E49" i="1"/>
  <c r="C54" i="1"/>
  <c r="C55" i="1"/>
  <c r="C56" i="1"/>
  <c r="C57" i="1"/>
  <c r="C60" i="1"/>
  <c r="D60" i="1"/>
  <c r="C61" i="1"/>
  <c r="C62" i="1"/>
  <c r="C63" i="1"/>
  <c r="C64" i="1"/>
  <c r="C65" i="1"/>
  <c r="C66" i="1"/>
  <c r="C67" i="1"/>
  <c r="C68" i="1"/>
  <c r="C69" i="1"/>
  <c r="A70" i="1"/>
  <c r="C70" i="1"/>
  <c r="C76" i="1"/>
  <c r="C88" i="1"/>
  <c r="C95" i="1" s="1"/>
  <c r="C77" i="1"/>
  <c r="C80" i="1"/>
  <c r="D72" i="1"/>
  <c r="D56" i="14"/>
  <c r="E56" i="14" s="1"/>
  <c r="D91" i="1"/>
  <c r="A35" i="10"/>
  <c r="B27" i="13"/>
  <c r="G51" i="1"/>
  <c r="H50" i="1"/>
  <c r="G32" i="1"/>
  <c r="N54" i="1"/>
  <c r="O54" i="1"/>
  <c r="N53" i="1"/>
  <c r="O53" i="1"/>
  <c r="I41" i="1"/>
  <c r="H61" i="1"/>
  <c r="D62" i="1" s="1"/>
  <c r="J42" i="1"/>
  <c r="E90" i="1"/>
  <c r="B30" i="10" s="1"/>
  <c r="B90" i="1"/>
  <c r="B89" i="1"/>
  <c r="B96" i="1"/>
  <c r="E89" i="1"/>
  <c r="B29" i="10" s="1"/>
  <c r="A37" i="10"/>
  <c r="C96" i="1"/>
  <c r="N52" i="1"/>
  <c r="O52" i="1"/>
  <c r="H51" i="1"/>
  <c r="G52" i="1"/>
  <c r="H32" i="1"/>
  <c r="H60" i="1" s="1"/>
  <c r="D61" i="1" s="1"/>
  <c r="G33" i="1"/>
  <c r="J43" i="1"/>
  <c r="E88" i="1"/>
  <c r="B88" i="1"/>
  <c r="B95" i="1"/>
  <c r="H33" i="1"/>
  <c r="I37" i="1" s="1"/>
  <c r="H68" i="1" s="1"/>
  <c r="D69" i="1" s="1"/>
  <c r="G34" i="1"/>
  <c r="G53" i="1"/>
  <c r="H52" i="1"/>
  <c r="I42" i="1"/>
  <c r="H62" i="1" s="1"/>
  <c r="D63" i="1" s="1"/>
  <c r="B28" i="10"/>
  <c r="I43" i="1"/>
  <c r="H63" i="1" s="1"/>
  <c r="D64" i="1" s="1"/>
  <c r="J44" i="1"/>
  <c r="H53" i="1"/>
  <c r="G54" i="1"/>
  <c r="G35" i="1"/>
  <c r="H35" i="1"/>
  <c r="G36" i="1"/>
  <c r="H36" i="1"/>
  <c r="H34" i="1"/>
  <c r="J45" i="1"/>
  <c r="I45" i="1"/>
  <c r="H65" i="1" s="1"/>
  <c r="D66" i="1" s="1"/>
  <c r="I44" i="1"/>
  <c r="H64" i="1" s="1"/>
  <c r="D65" i="1" s="1"/>
  <c r="G55" i="1"/>
  <c r="H54" i="1"/>
  <c r="G56" i="1"/>
  <c r="H56" i="1"/>
  <c r="H55" i="1"/>
  <c r="E91" i="1" l="1"/>
  <c r="N15" i="1" s="1"/>
  <c r="B36" i="10" s="1"/>
  <c r="H66" i="1"/>
  <c r="D67" i="1" s="1"/>
  <c r="I28" i="1"/>
  <c r="G78" i="1"/>
  <c r="C79" i="1" s="1"/>
  <c r="J16" i="14"/>
  <c r="H46" i="14" s="1"/>
  <c r="H47" i="14" s="1"/>
  <c r="D42" i="1"/>
  <c r="A34" i="10"/>
  <c r="G42" i="1"/>
  <c r="G41" i="1"/>
  <c r="H41" i="1" s="1"/>
  <c r="B23" i="10"/>
  <c r="B28" i="13"/>
  <c r="A10" i="10"/>
  <c r="N13" i="1" l="1"/>
  <c r="B34" i="10" s="1"/>
  <c r="B38" i="10" s="1"/>
  <c r="N14" i="1"/>
  <c r="B35" i="10" s="1"/>
  <c r="B31" i="13"/>
  <c r="B34" i="13" s="1"/>
  <c r="B38" i="13" s="1"/>
  <c r="B31" i="10"/>
  <c r="H67" i="1"/>
  <c r="D68" i="1" s="1"/>
  <c r="H48" i="14"/>
  <c r="H5" i="1"/>
  <c r="H49" i="14"/>
  <c r="H50" i="14" s="1"/>
  <c r="H6" i="1" s="1"/>
  <c r="G43" i="1"/>
  <c r="H42" i="1"/>
  <c r="H69" i="1" l="1"/>
  <c r="K59" i="1" s="1"/>
  <c r="K61" i="1" s="1"/>
  <c r="C92" i="1"/>
  <c r="C93" i="1"/>
  <c r="C83" i="1"/>
  <c r="C84" i="1"/>
  <c r="G44" i="1"/>
  <c r="H43" i="1"/>
  <c r="K63" i="1"/>
  <c r="N61" i="1" s="1"/>
  <c r="D70" i="1" l="1"/>
  <c r="G77" i="1"/>
  <c r="C78" i="1" s="1"/>
  <c r="M63" i="1"/>
  <c r="L65" i="1" s="1"/>
  <c r="E76" i="1"/>
  <c r="L66" i="1"/>
  <c r="G87" i="1"/>
  <c r="H75" i="1"/>
  <c r="H44" i="1"/>
  <c r="G45" i="1"/>
  <c r="H45" i="1" s="1"/>
  <c r="D76" i="1" l="1"/>
  <c r="H87" i="1"/>
  <c r="A88" i="1"/>
  <c r="L67" i="1"/>
  <c r="N65" i="1" l="1"/>
  <c r="H76" i="1"/>
  <c r="G88" i="1"/>
  <c r="K73" i="1"/>
  <c r="E77" i="1" l="1"/>
  <c r="M67" i="1"/>
  <c r="K70" i="1" s="1"/>
  <c r="A89" i="1"/>
  <c r="H88" i="1"/>
  <c r="D77" i="1"/>
  <c r="K75" i="1" l="1"/>
  <c r="G89" i="1" s="1"/>
  <c r="H78" i="1"/>
  <c r="I77" i="1"/>
  <c r="E78" i="1" s="1"/>
  <c r="D79" i="1" l="1"/>
  <c r="H79" i="1"/>
  <c r="D80" i="1" s="1"/>
  <c r="A90" i="1"/>
  <c r="H89" i="1"/>
  <c r="H90" i="1" s="1"/>
  <c r="G90" i="1"/>
  <c r="A91" i="1" s="1"/>
</calcChain>
</file>

<file path=xl/sharedStrings.xml><?xml version="1.0" encoding="utf-8"?>
<sst xmlns="http://schemas.openxmlformats.org/spreadsheetml/2006/main" count="420" uniqueCount="375">
  <si>
    <t>Room - Rent</t>
  </si>
  <si>
    <t>Personal</t>
  </si>
  <si>
    <t>Cost of 2 return flights - write here - only in £</t>
  </si>
  <si>
    <t>Add any other essential costs - write here - only in £</t>
  </si>
  <si>
    <t>Books &amp; Copying</t>
  </si>
  <si>
    <t>Y</t>
  </si>
  <si>
    <t>N</t>
  </si>
  <si>
    <t>Application/Student Number</t>
  </si>
  <si>
    <t>Sub</t>
  </si>
  <si>
    <t>postgraduates</t>
  </si>
  <si>
    <t>Undergraduate1</t>
  </si>
  <si>
    <t>Undergraduate2</t>
  </si>
  <si>
    <t>Law</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</si>
  <si>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</si>
  <si>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</si>
  <si>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</si>
  <si>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</si>
  <si>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</si>
  <si>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</si>
  <si>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</si>
  <si>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</si>
  <si>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</si>
  <si>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</si>
  <si>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</si>
  <si>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</si>
  <si>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</si>
  <si>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</si>
  <si>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</si>
  <si>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</si>
  <si>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</si>
  <si>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</si>
  <si>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</si>
  <si>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</si>
  <si>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</si>
  <si>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</si>
  <si>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</si>
  <si>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</si>
  <si>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</si>
  <si>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</si>
  <si>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</si>
  <si>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</si>
  <si>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</si>
  <si>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</si>
  <si>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</si>
  <si>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</si>
  <si>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</si>
  <si>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</si>
  <si>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</si>
  <si>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</si>
  <si>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</si>
  <si>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</si>
  <si>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</si>
  <si>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</si>
  <si>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</si>
  <si>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</si>
  <si>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</si>
  <si>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</si>
  <si>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</si>
  <si>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</si>
  <si>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</si>
  <si>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</si>
  <si>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</si>
  <si>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</si>
  <si>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</si>
  <si>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Undergrad Courses which could get Postgrad funding</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</si>
  <si>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</si>
  <si>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</si>
  <si>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</si>
  <si>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</si>
  <si>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</si>
  <si>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</si>
  <si>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</si>
  <si>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</si>
  <si>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</si>
  <si>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</si>
  <si>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</si>
  <si>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</si>
  <si>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</si>
  <si>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</si>
  <si>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Your Request</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</si>
  <si>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</si>
  <si>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</si>
  <si>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</si>
  <si>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</si>
  <si>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</si>
  <si>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</si>
  <si>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</si>
  <si>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</si>
  <si>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</si>
  <si>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</si>
  <si>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</si>
  <si>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</si>
  <si>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</si>
  <si>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</si>
  <si>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</si>
  <si>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</si>
  <si>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If everything is correct we will originate your loans and issue a certificate for visa application</t>
  </si>
  <si>
    <t>Provide evidence of your needs for any increase to  PLUS to be considered or borrow less in Section 6</t>
  </si>
  <si>
    <t>After Origination Fees You Get</t>
  </si>
  <si>
    <t>Notification of Student Loan</t>
  </si>
  <si>
    <t xml:space="preserve">This is to certify that </t>
  </si>
  <si>
    <t>Student Name</t>
  </si>
  <si>
    <t>Date of Birth (dd/mm/yyyy)</t>
  </si>
  <si>
    <t>Student/Applicant ID</t>
  </si>
  <si>
    <t>has been accepted in a degree-granting program (or otherwise eligible program) at our school.</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</si>
  <si>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</si>
  <si>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</si>
  <si>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</si>
  <si>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</si>
  <si>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</si>
  <si>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</si>
  <si>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</si>
  <si>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</si>
  <si>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</si>
  <si>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</si>
  <si>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</si>
  <si>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</si>
  <si>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</si>
  <si>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</si>
  <si>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</si>
  <si>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</si>
  <si>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</si>
  <si>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</si>
  <si>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Date Issued</t>
  </si>
  <si>
    <t>if printed on school headed paper</t>
  </si>
  <si>
    <t>and signed across the coat of arms</t>
  </si>
  <si>
    <t>This spreadsheet is to help you and us</t>
  </si>
  <si>
    <t>Max Loans Allowed Adjusted for Fees</t>
  </si>
  <si>
    <t>Max Loan after grossing up for Fees adjustments</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</si>
  <si>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</si>
  <si>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</si>
  <si>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</si>
  <si>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</si>
  <si>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</si>
  <si>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</si>
  <si>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</si>
  <si>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</si>
  <si>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</si>
  <si>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</si>
  <si>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</si>
  <si>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Visa Application and flights to interview</t>
  </si>
  <si>
    <t>PLUS Loan</t>
  </si>
  <si>
    <t>How these Costs are Calculated</t>
  </si>
  <si>
    <t>Year Dates</t>
  </si>
  <si>
    <t>These dates are set to minimise the risk of your loan being rejected by overlapping a previous year.</t>
  </si>
  <si>
    <t>Disbursement Dates</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</si>
  <si>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</si>
  <si>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</si>
  <si>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</si>
  <si>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</si>
  <si>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</si>
  <si>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</si>
  <si>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</si>
  <si>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</si>
  <si>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Final</t>
  </si>
  <si>
    <t>Next review date for Exchange Rate</t>
  </si>
  <si>
    <t>Cost of two BA return flights Heathrow/LA  travelling at weekends and rounded up by £100 to nearest £100</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</si>
  <si>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</si>
  <si>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</si>
  <si>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</si>
  <si>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</si>
  <si>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</si>
  <si>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</si>
  <si>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</si>
  <si>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</si>
  <si>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</si>
  <si>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</si>
  <si>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</si>
  <si>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</si>
  <si>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</si>
  <si>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</si>
  <si>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</si>
  <si>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</si>
  <si>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</si>
  <si>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</si>
  <si>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</si>
  <si>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 xml:space="preserve">Your government takes an origination fee. </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</si>
  <si>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</si>
  <si>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</si>
  <si>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</si>
  <si>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</si>
  <si>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RETAIL (Main Street) RATE - NOT INTERBANK RATE</t>
  </si>
  <si>
    <t>From July 2012 there is no Subsidised Loan for postgraduates</t>
  </si>
  <si>
    <t>Commission %</t>
  </si>
  <si>
    <t>Bank Number</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</si>
  <si>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</si>
  <si>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</si>
  <si>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</si>
  <si>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</si>
  <si>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</si>
  <si>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</si>
  <si>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</si>
  <si>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</si>
  <si>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</si>
  <si>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</si>
  <si>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</si>
  <si>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</si>
  <si>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</si>
  <si>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</si>
  <si>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</si>
  <si>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</si>
  <si>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</si>
  <si>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</si>
  <si>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</si>
  <si>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</si>
  <si>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</si>
  <si>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</si>
  <si>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</si>
  <si>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</si>
  <si>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</si>
  <si>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</si>
  <si>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</si>
  <si>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</si>
  <si>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</si>
  <si>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</si>
  <si>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</si>
  <si>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</si>
  <si>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</si>
  <si>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</si>
  <si>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</si>
  <si>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</si>
  <si>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</si>
  <si>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</si>
  <si>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</si>
  <si>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</si>
  <si>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</si>
  <si>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</si>
  <si>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</si>
  <si>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</si>
  <si>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</si>
  <si>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</si>
  <si>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</si>
  <si>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SCHOOL INFORMATION</t>
  </si>
  <si>
    <t>MONEY INFORMATION</t>
  </si>
  <si>
    <r>
      <t xml:space="preserve">What is the date of your last Bachelors' graduation ceremony </t>
    </r>
    <r>
      <rPr>
        <b/>
        <u/>
        <sz val="10"/>
        <color indexed="10"/>
        <rFont val="Times New Roman"/>
        <family val="1"/>
      </rPr>
      <t>in the summer</t>
    </r>
    <r>
      <rPr>
        <sz val="10"/>
        <color indexed="10"/>
        <rFont val="Times New Roman"/>
        <family val="1"/>
      </rPr>
      <t xml:space="preserve"> </t>
    </r>
  </si>
  <si>
    <t>AND/OR</t>
  </si>
  <si>
    <t>official end of summer term - ONLY if earlier</t>
  </si>
  <si>
    <t>For your information …</t>
  </si>
  <si>
    <t>Information sent by the US Dept of Ed to schools also includes all those who may not apply or enroll.</t>
  </si>
  <si>
    <t>The Basis of Costs tab shows you how we calculated the Cost of Attendance</t>
  </si>
  <si>
    <t>Worst combination goes to the CoA</t>
  </si>
  <si>
    <t>Worst Fee Rate</t>
  </si>
  <si>
    <t>What are the initials of your staff allowed to sign visa letters USE BLOCK CAPS</t>
  </si>
  <si>
    <t>which come from the US Dept of Education and are administered through this school.</t>
  </si>
  <si>
    <t>When - long after the first disbursement - will you review the exchange rate</t>
  </si>
  <si>
    <t>Travelcard/Transport Costs</t>
  </si>
  <si>
    <t>What is your normal family shopping for a week and adjust for one adult</t>
  </si>
  <si>
    <t>PC and Printer</t>
  </si>
  <si>
    <t>Postgrad weeks</t>
  </si>
  <si>
    <t>Year 1</t>
  </si>
  <si>
    <t>Year 2</t>
  </si>
  <si>
    <t>Year 3</t>
  </si>
  <si>
    <t>Year 4</t>
  </si>
  <si>
    <t>Dependent Unsubsidised</t>
  </si>
  <si>
    <t>Independent Unsubsidised</t>
  </si>
  <si>
    <t xml:space="preserve">Worst case costs at worst exchange </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</si>
  <si>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</si>
  <si>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</si>
  <si>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</si>
  <si>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</si>
  <si>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</si>
  <si>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</si>
  <si>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School's Estimate per week</t>
  </si>
  <si>
    <t>School's Estimate per Year</t>
  </si>
  <si>
    <t>YOUR ESTIMATED FINAL COSTS &amp; US ED DEPT MAXIMUM LOAN ELIGIBILITY - YOU MAY BORROW LESS IF YOU CHOOSE</t>
  </si>
  <si>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</si>
  <si>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</si>
  <si>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</si>
  <si>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</si>
  <si>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</si>
  <si>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</si>
  <si>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</si>
  <si>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</si>
  <si>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</si>
  <si>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</si>
  <si>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</si>
  <si>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</si>
  <si>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</si>
  <si>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Normal cost of one return journey for 7 days or a weekly travel card covering the area, whichever is the greater</t>
  </si>
  <si>
    <t>Date of Birth</t>
  </si>
  <si>
    <t>To ensure that your application is as smooth as possible, you must complete the Cost of Attendance spreadsheet and the checklist</t>
  </si>
  <si>
    <t>DON'T TOUCH THE BLUE BOXES - They are calculations going to other parts of this workbook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</si>
  <si>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</si>
  <si>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</si>
  <si>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</si>
  <si>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</si>
  <si>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</si>
  <si>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</si>
  <si>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</si>
  <si>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</si>
  <si>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</si>
  <si>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</si>
  <si>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</si>
  <si>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</si>
  <si>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If you are a PhD student starting later in the year, use the tab "late PhD Cost of Attendance"</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</si>
  <si>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</si>
  <si>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</si>
  <si>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</si>
  <si>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</si>
  <si>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</si>
  <si>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</si>
  <si>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</si>
  <si>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</si>
  <si>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</si>
  <si>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</si>
  <si>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</si>
  <si>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Your Request  -  you may reduce these values</t>
  </si>
  <si>
    <t>Full name of your course</t>
  </si>
  <si>
    <t>What will be your year of study - select from the dropbox only</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</si>
  <si>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</si>
  <si>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</si>
  <si>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</si>
  <si>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</si>
  <si>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</si>
  <si>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These are 15/16 - If you know levels have changed, go to the USDE website and find the loan levels for each type of student</t>
  </si>
  <si>
    <t>These are 01 Oct 2014 - If they've changed, go to the USDE website and check origination/rebates for each loan type and adjust below</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</si>
  <si>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</si>
  <si>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</si>
  <si>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</si>
  <si>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</si>
  <si>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Undergraduates - The loan year will be start of academic year to end of final term</t>
  </si>
  <si>
    <t>only 6 banks would accept or exchange dollars</t>
  </si>
  <si>
    <t>midweek return flights with BA from  Los Angeles to London</t>
  </si>
  <si>
    <t>midweek return flight for visa interview Los Angeles to New York</t>
  </si>
  <si>
    <t>Visa £322 and NHS charge £150.00</t>
  </si>
  <si>
    <t>COMPLETE ALL YELLOW BOXES ONLY</t>
  </si>
  <si>
    <t>DO</t>
  </si>
  <si>
    <t xml:space="preserve">We participate in the William D. Ford Federal Direct Loan (Direct Loan) Program administered by the United States (U.S.) Department of Education. 
Eligible students from the U.S. who attend our school may borrow through the Direct Loan Program. 
Undergraduate students and graduate/professional students may receive Direct Subsidized Loans and Direct Unsubsidized Loans.
Graduate/professional students and parents may receive Direct PLUS Loans. 
</t>
  </si>
  <si>
    <t>CP</t>
  </si>
  <si>
    <t>LONDON</t>
  </si>
  <si>
    <t>CW</t>
  </si>
  <si>
    <t xml:space="preserve">Has been accepted in a degree-granting programme(or otherwise eligible programme) at our School </t>
  </si>
  <si>
    <t>SD</t>
  </si>
  <si>
    <r>
      <rPr>
        <b/>
        <u/>
        <sz val="11"/>
        <rFont val="Calibri"/>
        <family val="2"/>
      </rPr>
      <t xml:space="preserve">Please note: </t>
    </r>
    <r>
      <rPr>
        <sz val="11"/>
        <rFont val="Calibri"/>
        <family val="2"/>
      </rPr>
      <t xml:space="preserve">This is a summary of loans originated, however this </t>
    </r>
    <r>
      <rPr>
        <b/>
        <u/>
        <sz val="11"/>
        <rFont val="Calibri"/>
        <family val="2"/>
      </rPr>
      <t>is not</t>
    </r>
    <r>
      <rPr>
        <sz val="11"/>
        <rFont val="Calibri"/>
        <family val="2"/>
      </rPr>
      <t xml:space="preserve"> a guarantee of Federal student loans</t>
    </r>
  </si>
  <si>
    <t xml:space="preserve"> The student (or, in some cases, the student’s parent) will receive the following Direct Loan awards</t>
  </si>
  <si>
    <t>Section 1</t>
  </si>
  <si>
    <t xml:space="preserve">Is this course for BSc or BA or BLL? </t>
  </si>
  <si>
    <t>Section 2</t>
  </si>
  <si>
    <t>Please answer each question in this section</t>
  </si>
  <si>
    <t xml:space="preserve">Section 3 </t>
  </si>
  <si>
    <t>Section 4</t>
  </si>
  <si>
    <t>Section 5</t>
  </si>
  <si>
    <t xml:space="preserve">Section 6 </t>
  </si>
  <si>
    <t>Section 7</t>
  </si>
  <si>
    <t>Single Costs for the year - you may adjust or add extras in these columns</t>
  </si>
  <si>
    <t>you may be asked for proof of your extra needs</t>
  </si>
  <si>
    <t>Weekly Essential Costs - School Max Estimates - you can adjust the values but may be asked for proofs of your adjusted costs</t>
  </si>
  <si>
    <t>Section 8</t>
  </si>
  <si>
    <t xml:space="preserve">Section 9 Government Fees </t>
  </si>
  <si>
    <t>Cost of a laptop plus a printer</t>
  </si>
  <si>
    <t>1. You tell us what we need to know about you before we can start to process your application (Section 1)</t>
  </si>
  <si>
    <t>2. You can re-calculate your costs (Sections 2 &amp; 3) and if needed you can change our values shown in blue</t>
  </si>
  <si>
    <t>3. It calculates how much you need and are eligible to borrow (Section 4)</t>
  </si>
  <si>
    <t>4. It tells you whether the school will accept the costs you have proposed (Section 5)</t>
  </si>
  <si>
    <t>6. You tell us how much you want to borrow (Section 6) You adjust the figures shown in blue</t>
  </si>
  <si>
    <t>There are some documents which we have to receive before we can even start to certify or complete your loans</t>
  </si>
  <si>
    <t>When we will receive the required documents as outlined in the LSE Federal Studentg Aid Guide we will start the eligibility checking</t>
  </si>
  <si>
    <t>WARNING - THESE DATES ARE EXPECTED AND NOT ACTUAL</t>
  </si>
  <si>
    <t>Select</t>
  </si>
  <si>
    <t xml:space="preserve">Federal Direct Subsidised Loan </t>
  </si>
  <si>
    <t xml:space="preserve">Federal Direct Unsubsidised Loan </t>
  </si>
  <si>
    <t>Federal Direct PLUS (Parent/Graduate) Loans.</t>
  </si>
  <si>
    <t>Rate per https://studentaid.gov/understand-aid/types/loans/interest-rates</t>
  </si>
  <si>
    <t>What is your estimate for enough pocket money per week</t>
  </si>
  <si>
    <t>Powerful laptop and printer [Apple MacBook  - PC World March 2022]</t>
  </si>
  <si>
    <t>GP</t>
  </si>
  <si>
    <t>Housing</t>
  </si>
  <si>
    <t>Food and utilities</t>
  </si>
  <si>
    <t>ME</t>
  </si>
  <si>
    <t>2024/25</t>
  </si>
  <si>
    <t>Post Office</t>
  </si>
  <si>
    <t>XE</t>
  </si>
  <si>
    <t>M &amp; S</t>
  </si>
  <si>
    <t>What is you SAI Student Aid Index (top right of front page of SAR) Even zero must be entered</t>
  </si>
  <si>
    <t>What does your SAR say for "Personal cicumstances" Only answer I or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</si>
</sst>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0"/>
    <numFmt numFmtId="165" formatCode="[$$-409]#,##0"/>
    <numFmt numFmtId="166" formatCode="&quot;£&quot;#,##0.00"/>
    <numFmt numFmtId="167" formatCode="[$$-409]#,##0.00"/>
    <numFmt numFmtId="169" formatCode="#,##0_ ;\-#,##0\ "/>
    <numFmt numFmtId="170" formatCode="[$$-409]#,##0;[Red][$$-409]#,##0"/>
    <numFmt numFmtId="176" formatCode="[$-F800]dddd\,\ mmmm\ dd\,\ yyyy"/>
    <numFmt numFmtId="177" formatCode="[$-809]d\ mmmm\ yyyy;@"/>
    <numFmt numFmtId="179" formatCode="[$$-409]#,##0.00;[Red][$$-409]#,##0.00"/>
    <numFmt numFmtId="180" formatCode="0.0000"/>
    <numFmt numFmtId="181" formatCode="0.0%"/>
    <numFmt numFmtId="188" formatCode="0.0000%"/>
  </numFmts>
  <fonts count="85" x14ac:knownFonts="1">
    <font>
      <sz val="10"/>
      <name val="Arial"/>
    </font>
    <font>
      <sz val="10"/>
      <name val="Arial"/>
    </font>
    <font>
      <b/>
      <sz val="10"/>
      <name val="Arial"/>
      <family val="2"/>
    </font>
    <font>
      <sz val="8"/>
      <name val="Arial"/>
      <family val="2"/>
    </font>
    <font>
      <sz val="10"/>
      <color indexed="12"/>
      <name val="Arial"/>
      <family val="2"/>
    </font>
    <font>
      <sz val="10"/>
      <name val="Arial"/>
      <family val="2"/>
    </font>
    <font>
      <u/>
      <sz val="7.5"/>
      <color indexed="12"/>
      <name val="Arial"/>
      <family val="2"/>
    </font>
    <font>
      <b/>
      <sz val="12"/>
      <color indexed="10"/>
      <name val="Arial"/>
      <family val="2"/>
    </font>
    <font>
      <sz val="10"/>
      <name val="Times New Roman"/>
      <family val="1"/>
    </font>
    <font>
      <b/>
      <sz val="10"/>
      <color indexed="10"/>
      <name val="Times New Roman"/>
      <family val="1"/>
    </font>
    <font>
      <b/>
      <sz val="12"/>
      <color indexed="10"/>
      <name val="Times New Roman"/>
      <family val="1"/>
    </font>
    <font>
      <b/>
      <sz val="12"/>
      <color indexed="12"/>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sz val="12"/>
      <color indexed="10"/>
      <name val="Times New Roman"/>
      <family val="1"/>
    </font>
    <font>
      <b/>
      <u/>
      <sz val="10"/>
      <color indexed="10"/>
      <name val="Times New Roman"/>
      <family val="1"/>
    </font>
    <font>
      <b/>
      <u/>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0"/>
      <name val="Times New Roman"/>
      <family val="1"/>
    </font>
    <font>
      <sz val="11"/>
      <name val="Calibri"/>
      <family val="2"/>
    </font>
    <font>
      <b/>
      <u/>
      <sz val="11"/>
      <name val="Calibri"/>
      <family val="2"/>
    </font>
    <font>
      <b/>
      <sz val="14"/>
      <color indexed="9"/>
      <name val="Arial"/>
      <family val="2"/>
    </font>
    <font>
      <sz val="14"/>
      <name val="Arial"/>
      <family val="2"/>
    </font>
    <font>
      <sz val="12"/>
      <name val="Arial"/>
      <family val="2"/>
    </font>
    <font>
      <b/>
      <sz val="12"/>
      <color indexed="12"/>
      <name val="Arial"/>
      <family val="2"/>
    </font>
    <font>
      <b/>
      <sz val="12"/>
      <color indexed="13"/>
      <name val="Arial"/>
      <family val="2"/>
    </font>
    <font>
      <sz val="12"/>
      <color indexed="12"/>
      <name val="Arial"/>
      <family val="2"/>
    </font>
    <font>
      <b/>
      <sz val="12"/>
      <color indexed="9"/>
      <name val="Arial"/>
      <family val="2"/>
    </font>
    <font>
      <b/>
      <sz val="12"/>
      <name val="Arial"/>
      <family val="2"/>
    </font>
    <font>
      <b/>
      <sz val="14"/>
      <color indexed="10"/>
      <name val="Arial"/>
      <family val="2"/>
    </font>
    <font>
      <b/>
      <i/>
      <sz val="9"/>
      <name val="Arial"/>
      <family val="2"/>
    </font>
    <font>
      <sz val="9"/>
      <name val="Arial"/>
      <family val="2"/>
    </font>
    <font>
      <b/>
      <sz val="9"/>
      <name val="Arial"/>
      <family val="2"/>
    </font>
    <font>
      <u/>
      <sz val="14"/>
      <color indexed="12"/>
      <name val="Arial"/>
      <family val="2"/>
    </font>
    <font>
      <b/>
      <sz val="14"/>
      <color indexed="12"/>
      <name val="Arial"/>
      <family val="2"/>
    </font>
    <font>
      <b/>
      <u/>
      <sz val="14"/>
      <color indexed="12"/>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indexed="48"/>
      <name val="Calibri"/>
      <family val="2"/>
      <scheme val="minor"/>
    </font>
    <font>
      <sz val="12"/>
      <name val="Calibri"/>
      <family val="2"/>
      <scheme val="minor"/>
    </font>
    <font>
      <b/>
      <sz val="14"/>
      <color indexed="10"/>
      <name val="Calibri"/>
      <family val="2"/>
      <scheme val="minor"/>
    </font>
    <font>
      <b/>
      <sz val="12"/>
      <name val="Calibri"/>
      <family val="2"/>
      <scheme val="minor"/>
    </font>
    <font>
      <b/>
      <sz val="18"/>
      <name val="Calibri"/>
      <family val="2"/>
      <scheme val="minor"/>
    </font>
    <font>
      <sz val="14"/>
      <name val="Calibri"/>
      <family val="2"/>
      <scheme val="minor"/>
    </font>
    <font>
      <b/>
      <sz val="14"/>
      <color indexed="12"/>
      <name val="Calibri"/>
      <family val="2"/>
      <scheme val="minor"/>
    </font>
    <font>
      <sz val="14"/>
      <color indexed="10"/>
      <name val="Calibri"/>
      <family val="2"/>
      <scheme val="minor"/>
    </font>
    <font>
      <b/>
      <sz val="12"/>
      <color indexed="12"/>
      <name val="Calibri"/>
      <family val="2"/>
      <scheme val="minor"/>
    </font>
    <font>
      <b/>
      <sz val="10"/>
      <color indexed="12"/>
      <name val="Calibri"/>
      <family val="2"/>
      <scheme val="minor"/>
    </font>
    <font>
      <b/>
      <sz val="12"/>
      <color indexed="10"/>
      <name val="Calibri"/>
      <family val="2"/>
      <scheme val="minor"/>
    </font>
    <font>
      <b/>
      <sz val="16"/>
      <color indexed="10"/>
      <name val="Calibri"/>
      <family val="2"/>
      <scheme val="minor"/>
    </font>
    <font>
      <b/>
      <i/>
      <sz val="16"/>
      <color indexed="9"/>
      <name val="Calibri"/>
      <family val="2"/>
      <scheme val="minor"/>
    </font>
    <font>
      <b/>
      <sz val="16"/>
      <color indexed="9"/>
      <name val="Calibri"/>
      <family val="2"/>
      <scheme val="minor"/>
    </font>
    <font>
      <b/>
      <sz val="16"/>
      <color indexed="17"/>
      <name val="Calibri"/>
      <family val="2"/>
      <scheme val="minor"/>
    </font>
    <font>
      <b/>
      <sz val="10"/>
      <color indexed="9"/>
      <name val="Calibri"/>
      <family val="2"/>
      <scheme val="minor"/>
    </font>
    <font>
      <b/>
      <i/>
      <sz val="8"/>
      <color indexed="9"/>
      <name val="Calibri"/>
      <family val="2"/>
      <scheme val="minor"/>
    </font>
    <font>
      <b/>
      <sz val="10"/>
      <color indexed="17"/>
      <name val="Calibri"/>
      <family val="2"/>
      <scheme val="minor"/>
    </font>
    <font>
      <b/>
      <sz val="8"/>
      <color indexed="9"/>
      <name val="Calibri"/>
      <family val="2"/>
      <scheme val="minor"/>
    </font>
    <font>
      <b/>
      <u/>
      <sz val="10"/>
      <color indexed="9"/>
      <name val="Calibri"/>
      <family val="2"/>
      <scheme val="minor"/>
    </font>
    <font>
      <sz val="10"/>
      <color indexed="9"/>
      <name val="Calibri"/>
      <family val="2"/>
      <scheme val="minor"/>
    </font>
    <font>
      <sz val="10"/>
      <color indexed="10"/>
      <name val="Calibri"/>
      <family val="2"/>
      <scheme val="minor"/>
    </font>
    <font>
      <sz val="10"/>
      <color indexed="17"/>
      <name val="Calibri"/>
      <family val="2"/>
      <scheme val="minor"/>
    </font>
    <font>
      <b/>
      <sz val="12"/>
      <color indexed="9"/>
      <name val="Calibri"/>
      <family val="2"/>
      <scheme val="minor"/>
    </font>
    <font>
      <sz val="12"/>
      <color indexed="10"/>
      <name val="Calibri"/>
      <family val="2"/>
      <scheme val="minor"/>
    </font>
    <font>
      <b/>
      <u/>
      <sz val="12"/>
      <color indexed="9"/>
      <name val="Calibri"/>
      <family val="2"/>
      <scheme val="minor"/>
    </font>
    <font>
      <sz val="12"/>
      <color indexed="9"/>
      <name val="Calibri"/>
      <family val="2"/>
      <scheme val="minor"/>
    </font>
    <font>
      <sz val="12"/>
      <color indexed="17"/>
      <name val="Calibri"/>
      <family val="2"/>
      <scheme val="minor"/>
    </font>
    <font>
      <b/>
      <sz val="14"/>
      <color indexed="9"/>
      <name val="Calibri"/>
      <family val="2"/>
      <scheme val="minor"/>
    </font>
    <font>
      <b/>
      <sz val="12"/>
      <color indexed="17"/>
      <name val="Calibri"/>
      <family val="2"/>
      <scheme val="minor"/>
    </font>
    <font>
      <b/>
      <sz val="14"/>
      <color indexed="17"/>
      <name val="Calibri"/>
      <family val="2"/>
      <scheme val="minor"/>
    </font>
    <font>
      <b/>
      <sz val="14"/>
      <name val="Calibri"/>
      <family val="2"/>
      <scheme val="minor"/>
    </font>
    <font>
      <b/>
      <sz val="11"/>
      <name val="Calibri"/>
      <family val="2"/>
      <scheme val="minor"/>
    </font>
    <font>
      <sz val="11"/>
      <name val="Calibri"/>
      <family val="2"/>
      <scheme val="minor"/>
    </font>
    <font>
      <u/>
      <sz val="11"/>
      <name val="Calibri"/>
      <family val="2"/>
      <scheme val="minor"/>
    </font>
    <font>
      <sz val="12"/>
      <color indexed="12"/>
      <name val="Calibri"/>
      <family val="2"/>
      <scheme val="minor"/>
    </font>
    <font>
      <b/>
      <sz val="14"/>
      <color theme="0"/>
      <name val="Arial"/>
      <family val="2"/>
    </font>
    <font>
      <b/>
      <sz val="12"/>
      <color theme="0"/>
      <name val="Arial"/>
      <family val="2"/>
    </font>
    <font>
      <b/>
      <sz val="14"/>
      <color rgb="FFFF0000"/>
      <name val="Arial"/>
      <family val="2"/>
    </font>
    <font>
      <sz val="11"/>
      <name val="Arial"/>
      <family val="2"/>
    </font>
  </fonts>
  <fills count="11">
    <fill>
      <patternFill patternType="none"/>
    </fill>
    <fill>
      <patternFill patternType="gray125"/>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1"/>
        <bgColor indexed="64"/>
      </patternFill>
    </fill>
  </fills>
  <borders count="2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459">
    <xf numFmtId="0" fontId="0" fillId="0" borderId="0" xfId="0"/>
    <xf numFmtId="43" fontId="0" fillId="0" borderId="0" xfId="1" applyFont="1" applyBorder="1" applyAlignment="1" applyProtection="1">
      <alignment horizontal="right"/>
    </xf>
    <xf numFmtId="0" fontId="9" fillId="0" borderId="0" xfId="0" applyFont="1" applyProtection="1"/>
    <xf numFmtId="0" fontId="8" fillId="0" borderId="0" xfId="0" applyFont="1" applyProtection="1"/>
    <xf numFmtId="0" fontId="11" fillId="2" borderId="0" xfId="0" applyFont="1" applyFill="1" applyProtection="1"/>
    <xf numFmtId="0" fontId="10" fillId="0" borderId="0" xfId="0" applyFont="1" applyProtection="1"/>
    <xf numFmtId="0" fontId="16" fillId="0" borderId="0" xfId="0" applyFont="1" applyProtection="1"/>
    <xf numFmtId="0" fontId="15" fillId="0" borderId="0" xfId="0" applyFont="1" applyProtection="1"/>
    <xf numFmtId="0" fontId="12" fillId="0" borderId="0" xfId="0" applyFont="1" applyAlignment="1" applyProtection="1">
      <alignment horizontal="center"/>
    </xf>
    <xf numFmtId="0" fontId="13"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right"/>
    </xf>
    <xf numFmtId="165" fontId="8" fillId="0" borderId="0" xfId="0" applyNumberFormat="1" applyFont="1" applyProtection="1"/>
    <xf numFmtId="0" fontId="17" fillId="0" borderId="0" xfId="0" applyFont="1" applyProtection="1"/>
    <xf numFmtId="0" fontId="17" fillId="0" borderId="0" xfId="0" applyFont="1" applyFill="1" applyProtection="1"/>
    <xf numFmtId="14" fontId="14" fillId="3" borderId="0" xfId="0" applyNumberFormat="1" applyFont="1" applyFill="1" applyProtection="1"/>
    <xf numFmtId="164" fontId="8" fillId="0" borderId="0" xfId="0" applyNumberFormat="1" applyFont="1" applyProtection="1"/>
    <xf numFmtId="164" fontId="14" fillId="3" borderId="0" xfId="0" applyNumberFormat="1" applyFont="1" applyFill="1" applyProtection="1"/>
    <xf numFmtId="166" fontId="13" fillId="0" borderId="0" xfId="0" applyNumberFormat="1" applyFont="1" applyProtection="1"/>
    <xf numFmtId="164" fontId="9" fillId="0" borderId="0" xfId="0" applyNumberFormat="1" applyFont="1" applyProtection="1"/>
    <xf numFmtId="0" fontId="14" fillId="3" borderId="0" xfId="0" applyFont="1" applyFill="1" applyProtection="1"/>
    <xf numFmtId="164" fontId="9" fillId="3" borderId="0" xfId="0" applyNumberFormat="1" applyFont="1" applyFill="1" applyProtection="1"/>
    <xf numFmtId="1" fontId="14" fillId="3" borderId="0" xfId="0" applyNumberFormat="1" applyFont="1" applyFill="1" applyProtection="1"/>
    <xf numFmtId="164" fontId="16" fillId="0" borderId="0" xfId="0" applyNumberFormat="1" applyFont="1" applyProtection="1"/>
    <xf numFmtId="164" fontId="13" fillId="0" borderId="0" xfId="1" applyNumberFormat="1" applyFont="1" applyBorder="1" applyAlignment="1" applyProtection="1">
      <alignment horizontal="center"/>
    </xf>
    <xf numFmtId="43" fontId="5" fillId="0" borderId="0" xfId="1" applyFont="1" applyBorder="1" applyAlignment="1" applyProtection="1">
      <alignment horizontal="right"/>
    </xf>
    <xf numFmtId="0" fontId="14" fillId="0" borderId="0" xfId="0" applyFont="1" applyFill="1" applyProtection="1"/>
    <xf numFmtId="0" fontId="9" fillId="0" borderId="0" xfId="0" applyFont="1" applyFill="1" applyProtection="1"/>
    <xf numFmtId="0" fontId="8" fillId="0" borderId="0" xfId="0" applyFont="1" applyAlignment="1" applyProtection="1">
      <alignment horizontal="center" vertical="center" wrapText="1"/>
    </xf>
    <xf numFmtId="165" fontId="14" fillId="3" borderId="0" xfId="0" applyNumberFormat="1" applyFont="1" applyFill="1" applyProtection="1"/>
    <xf numFmtId="165" fontId="14" fillId="3" borderId="1" xfId="0" applyNumberFormat="1" applyFont="1" applyFill="1" applyBorder="1" applyProtection="1"/>
    <xf numFmtId="165" fontId="14" fillId="3" borderId="2" xfId="0" applyNumberFormat="1" applyFont="1" applyFill="1" applyBorder="1" applyProtection="1"/>
    <xf numFmtId="166" fontId="13" fillId="2" borderId="0" xfId="0" applyNumberFormat="1" applyFont="1" applyFill="1" applyProtection="1"/>
    <xf numFmtId="14" fontId="13" fillId="2" borderId="0" xfId="0" applyNumberFormat="1" applyFont="1" applyFill="1" applyProtection="1"/>
    <xf numFmtId="43" fontId="4" fillId="2" borderId="0" xfId="1" applyFont="1" applyFill="1" applyBorder="1" applyAlignment="1" applyProtection="1">
      <alignment horizontal="right"/>
    </xf>
    <xf numFmtId="0" fontId="13" fillId="2" borderId="0" xfId="0" applyFont="1" applyFill="1" applyAlignment="1" applyProtection="1">
      <alignment horizontal="center"/>
    </xf>
    <xf numFmtId="167" fontId="13" fillId="2" borderId="0" xfId="0" applyNumberFormat="1" applyFont="1" applyFill="1" applyAlignment="1" applyProtection="1">
      <alignment horizontal="center"/>
    </xf>
    <xf numFmtId="0" fontId="13" fillId="2" borderId="0" xfId="0" applyFont="1" applyFill="1" applyAlignment="1" applyProtection="1">
      <alignment horizontal="right"/>
    </xf>
    <xf numFmtId="0" fontId="16" fillId="0" borderId="0" xfId="0" applyFont="1" applyAlignment="1" applyProtection="1">
      <alignment horizontal="center"/>
    </xf>
    <xf numFmtId="0" fontId="14" fillId="3" borderId="0" xfId="0" applyFont="1" applyFill="1" applyAlignment="1" applyProtection="1">
      <alignment horizontal="center"/>
    </xf>
    <xf numFmtId="0" fontId="9" fillId="0" borderId="0" xfId="0" applyFont="1" applyAlignment="1" applyProtection="1">
      <alignment horizontal="center"/>
    </xf>
    <xf numFmtId="0" fontId="8" fillId="2" borderId="0" xfId="0" applyFont="1" applyFill="1" applyAlignment="1" applyProtection="1">
      <alignment horizontal="center"/>
    </xf>
    <xf numFmtId="0" fontId="19" fillId="4" borderId="0" xfId="0" applyFont="1" applyFill="1" applyProtection="1"/>
    <xf numFmtId="0" fontId="20" fillId="4" borderId="0" xfId="0" applyFont="1" applyFill="1" applyProtection="1"/>
    <xf numFmtId="0" fontId="21" fillId="4" borderId="0" xfId="0" applyFont="1" applyFill="1" applyProtection="1"/>
    <xf numFmtId="0" fontId="22" fillId="0" borderId="0" xfId="0" applyFont="1" applyProtection="1"/>
    <xf numFmtId="0" fontId="23" fillId="0" borderId="0" xfId="0" applyFont="1" applyAlignment="1" applyProtection="1">
      <alignment horizontal="center"/>
    </xf>
    <xf numFmtId="0" fontId="10" fillId="0" borderId="0" xfId="0" applyFont="1" applyAlignment="1" applyProtection="1">
      <alignment horizontal="center"/>
    </xf>
    <xf numFmtId="0" fontId="17" fillId="0" borderId="0" xfId="0" applyFont="1" applyAlignment="1" applyProtection="1">
      <alignment horizontal="center"/>
    </xf>
    <xf numFmtId="0" fontId="23" fillId="4" borderId="0" xfId="0" applyFont="1" applyFill="1" applyAlignment="1" applyProtection="1">
      <alignment horizontal="center"/>
    </xf>
    <xf numFmtId="0" fontId="10" fillId="2" borderId="0" xfId="0" applyFont="1" applyFill="1" applyAlignment="1" applyProtection="1">
      <alignment horizontal="center"/>
    </xf>
    <xf numFmtId="0" fontId="12" fillId="3" borderId="0" xfId="0" applyFont="1" applyFill="1" applyAlignment="1" applyProtection="1">
      <alignment horizontal="center"/>
    </xf>
    <xf numFmtId="0" fontId="18" fillId="4" borderId="0" xfId="0" applyFont="1" applyFill="1" applyAlignment="1" applyProtection="1">
      <alignment horizontal="center"/>
    </xf>
    <xf numFmtId="176" fontId="13" fillId="2" borderId="0" xfId="0" applyNumberFormat="1" applyFont="1" applyFill="1" applyProtection="1"/>
    <xf numFmtId="0" fontId="8" fillId="4" borderId="0" xfId="0" applyFont="1" applyFill="1" applyProtection="1"/>
    <xf numFmtId="14" fontId="8" fillId="0" borderId="0" xfId="0" applyNumberFormat="1" applyFont="1" applyProtection="1"/>
    <xf numFmtId="1" fontId="41" fillId="5" borderId="3" xfId="1" applyNumberFormat="1" applyFont="1" applyFill="1" applyBorder="1" applyAlignment="1" applyProtection="1">
      <alignment horizontal="center"/>
    </xf>
    <xf numFmtId="1" fontId="41" fillId="5" borderId="0" xfId="1" applyNumberFormat="1" applyFont="1" applyFill="1" applyBorder="1" applyAlignment="1" applyProtection="1">
      <alignment horizontal="center"/>
    </xf>
    <xf numFmtId="1" fontId="41" fillId="0" borderId="0" xfId="1" applyNumberFormat="1" applyFont="1" applyBorder="1" applyAlignment="1" applyProtection="1">
      <alignment horizontal="center"/>
    </xf>
    <xf numFmtId="3" fontId="41" fillId="0" borderId="0" xfId="0" applyNumberFormat="1" applyFont="1" applyAlignment="1" applyProtection="1">
      <alignment horizontal="center"/>
    </xf>
    <xf numFmtId="164" fontId="41" fillId="0" borderId="0" xfId="1" applyNumberFormat="1" applyFont="1" applyAlignment="1" applyProtection="1">
      <alignment horizontal="center"/>
    </xf>
    <xf numFmtId="1" fontId="42" fillId="7" borderId="0" xfId="1" applyNumberFormat="1" applyFont="1" applyFill="1" applyAlignment="1" applyProtection="1">
      <alignment horizontal="center"/>
    </xf>
    <xf numFmtId="0" fontId="42" fillId="7" borderId="0" xfId="0" applyFont="1" applyFill="1" applyProtection="1"/>
    <xf numFmtId="43" fontId="42" fillId="7" borderId="0" xfId="1" applyFont="1" applyFill="1" applyAlignment="1" applyProtection="1">
      <alignment horizontal="center"/>
    </xf>
    <xf numFmtId="0" fontId="42" fillId="7" borderId="0" xfId="0" applyFont="1" applyFill="1" applyAlignment="1" applyProtection="1">
      <alignment horizontal="center"/>
    </xf>
    <xf numFmtId="43" fontId="42" fillId="7" borderId="0" xfId="1" applyFont="1" applyFill="1" applyAlignment="1" applyProtection="1">
      <alignment horizontal="right"/>
    </xf>
    <xf numFmtId="1" fontId="43" fillId="7" borderId="0" xfId="1" applyNumberFormat="1" applyFont="1" applyFill="1" applyAlignment="1" applyProtection="1">
      <alignment horizontal="center"/>
    </xf>
    <xf numFmtId="43" fontId="43" fillId="7" borderId="0" xfId="1" applyFont="1" applyFill="1" applyAlignment="1" applyProtection="1">
      <alignment horizontal="center"/>
    </xf>
    <xf numFmtId="0" fontId="43" fillId="7" borderId="0" xfId="0" applyFont="1" applyFill="1" applyAlignment="1" applyProtection="1">
      <alignment horizontal="center"/>
    </xf>
    <xf numFmtId="0" fontId="43" fillId="7" borderId="0" xfId="0" applyFont="1" applyFill="1" applyProtection="1"/>
    <xf numFmtId="43" fontId="44" fillId="7" borderId="0" xfId="1" applyFont="1" applyFill="1" applyAlignment="1" applyProtection="1">
      <alignment horizontal="right"/>
    </xf>
    <xf numFmtId="0" fontId="43" fillId="7" borderId="0" xfId="0" applyFont="1" applyFill="1" applyAlignment="1" applyProtection="1">
      <alignment horizontal="right"/>
    </xf>
    <xf numFmtId="176" fontId="45" fillId="7" borderId="0" xfId="1" applyNumberFormat="1" applyFont="1" applyFill="1" applyAlignment="1" applyProtection="1"/>
    <xf numFmtId="176" fontId="45" fillId="7" borderId="0" xfId="1" applyNumberFormat="1" applyFont="1" applyFill="1" applyAlignment="1" applyProtection="1">
      <alignment horizontal="right"/>
    </xf>
    <xf numFmtId="43" fontId="43" fillId="7" borderId="0" xfId="1" applyFont="1" applyFill="1" applyAlignment="1" applyProtection="1">
      <alignment horizontal="right"/>
    </xf>
    <xf numFmtId="43" fontId="41" fillId="7" borderId="0" xfId="1" applyFont="1" applyFill="1" applyAlignment="1" applyProtection="1">
      <alignment horizontal="right"/>
    </xf>
    <xf numFmtId="176" fontId="45" fillId="7" borderId="0" xfId="0" applyNumberFormat="1" applyFont="1" applyFill="1" applyAlignment="1" applyProtection="1"/>
    <xf numFmtId="169" fontId="41" fillId="7" borderId="0" xfId="1" applyNumberFormat="1" applyFont="1" applyFill="1" applyAlignment="1" applyProtection="1">
      <alignment horizontal="right"/>
    </xf>
    <xf numFmtId="1" fontId="41" fillId="7" borderId="0" xfId="1" applyNumberFormat="1" applyFont="1" applyFill="1" applyAlignment="1" applyProtection="1">
      <alignment horizontal="center"/>
    </xf>
    <xf numFmtId="43" fontId="41" fillId="7" borderId="0" xfId="1" applyFont="1" applyFill="1" applyProtection="1"/>
    <xf numFmtId="43" fontId="41" fillId="7" borderId="0" xfId="1" applyFont="1" applyFill="1" applyAlignment="1" applyProtection="1">
      <alignment horizontal="center"/>
    </xf>
    <xf numFmtId="0" fontId="41" fillId="7" borderId="0" xfId="0" applyFont="1" applyFill="1" applyAlignment="1" applyProtection="1">
      <alignment horizontal="center"/>
    </xf>
    <xf numFmtId="1" fontId="41" fillId="0" borderId="0" xfId="0" applyNumberFormat="1" applyFont="1" applyAlignment="1" applyProtection="1">
      <alignment horizontal="center"/>
    </xf>
    <xf numFmtId="0" fontId="41" fillId="0" borderId="0" xfId="0" applyFont="1" applyAlignment="1" applyProtection="1">
      <alignment horizontal="center"/>
    </xf>
    <xf numFmtId="0" fontId="41" fillId="0" borderId="0" xfId="0" applyFont="1" applyProtection="1"/>
    <xf numFmtId="1" fontId="41" fillId="0" borderId="0" xfId="0" applyNumberFormat="1" applyFont="1" applyAlignment="1" applyProtection="1">
      <alignment horizontal="center"/>
      <protection locked="0"/>
    </xf>
    <xf numFmtId="0" fontId="41" fillId="0" borderId="0" xfId="0" applyFont="1" applyProtection="1">
      <protection locked="0"/>
    </xf>
    <xf numFmtId="167" fontId="46" fillId="0" borderId="0" xfId="0" applyNumberFormat="1" applyFont="1" applyAlignment="1" applyProtection="1">
      <alignment horizontal="center"/>
      <protection locked="0"/>
    </xf>
    <xf numFmtId="0" fontId="47" fillId="7" borderId="0" xfId="0" applyFont="1" applyFill="1" applyBorder="1"/>
    <xf numFmtId="0" fontId="41" fillId="7" borderId="0" xfId="0" applyFont="1" applyFill="1" applyBorder="1" applyAlignment="1">
      <alignment vertical="center" wrapText="1"/>
    </xf>
    <xf numFmtId="0" fontId="41" fillId="7" borderId="0" xfId="0" applyFont="1" applyFill="1" applyBorder="1"/>
    <xf numFmtId="0" fontId="41" fillId="7" borderId="0" xfId="0" applyFont="1" applyFill="1" applyBorder="1" applyAlignment="1">
      <alignment vertical="center"/>
    </xf>
    <xf numFmtId="0" fontId="48" fillId="0" borderId="0" xfId="0" applyFont="1" applyAlignment="1" applyProtection="1">
      <alignment horizontal="center"/>
      <protection hidden="1"/>
    </xf>
    <xf numFmtId="0" fontId="41" fillId="0" borderId="0" xfId="0" applyFont="1" applyProtection="1">
      <protection hidden="1"/>
    </xf>
    <xf numFmtId="0" fontId="41" fillId="0" borderId="0" xfId="0" applyFont="1"/>
    <xf numFmtId="49" fontId="48" fillId="0" borderId="0" xfId="0" applyNumberFormat="1" applyFont="1" applyAlignment="1" applyProtection="1">
      <alignment horizontal="center"/>
      <protection hidden="1"/>
    </xf>
    <xf numFmtId="49" fontId="43" fillId="0" borderId="0" xfId="0" applyNumberFormat="1" applyFont="1" applyAlignment="1" applyProtection="1">
      <alignment horizontal="center"/>
      <protection hidden="1"/>
    </xf>
    <xf numFmtId="0" fontId="43" fillId="0" borderId="0" xfId="0" applyFont="1" applyAlignment="1" applyProtection="1">
      <alignment horizontal="center"/>
      <protection hidden="1"/>
    </xf>
    <xf numFmtId="0" fontId="49" fillId="0" borderId="0" xfId="0" applyFont="1" applyAlignment="1" applyProtection="1">
      <alignment horizontal="left"/>
      <protection hidden="1"/>
    </xf>
    <xf numFmtId="43" fontId="49" fillId="0" borderId="0" xfId="0" applyNumberFormat="1" applyFont="1" applyAlignment="1" applyProtection="1">
      <alignment horizontal="left"/>
      <protection hidden="1"/>
    </xf>
    <xf numFmtId="0" fontId="50" fillId="0" borderId="0" xfId="0" applyFont="1" applyProtection="1">
      <protection hidden="1"/>
    </xf>
    <xf numFmtId="0" fontId="48" fillId="0" borderId="4" xfId="0" applyFont="1" applyBorder="1" applyAlignment="1" applyProtection="1">
      <alignment horizontal="center" vertical="top" wrapText="1"/>
      <protection hidden="1"/>
    </xf>
    <xf numFmtId="0" fontId="48" fillId="0" borderId="4" xfId="0" applyFont="1" applyBorder="1" applyAlignment="1">
      <alignment horizontal="center"/>
    </xf>
    <xf numFmtId="0" fontId="48" fillId="0" borderId="0" xfId="0" applyFont="1" applyProtection="1">
      <protection hidden="1"/>
    </xf>
    <xf numFmtId="0" fontId="48" fillId="0" borderId="0" xfId="0" applyFont="1"/>
    <xf numFmtId="177" fontId="48" fillId="0" borderId="4" xfId="0" applyNumberFormat="1" applyFont="1" applyBorder="1" applyAlignment="1" applyProtection="1">
      <alignment horizontal="center"/>
      <protection hidden="1"/>
    </xf>
    <xf numFmtId="49" fontId="48" fillId="0" borderId="4" xfId="0" applyNumberFormat="1" applyFont="1" applyBorder="1" applyAlignment="1" applyProtection="1">
      <alignment horizontal="center"/>
      <protection hidden="1"/>
    </xf>
    <xf numFmtId="0" fontId="46" fillId="0" borderId="0" xfId="0" applyFont="1" applyProtection="1">
      <protection hidden="1"/>
    </xf>
    <xf numFmtId="0" fontId="46" fillId="0" borderId="0" xfId="0" applyFont="1"/>
    <xf numFmtId="0" fontId="46" fillId="0" borderId="0" xfId="0" applyNumberFormat="1" applyFont="1" applyProtection="1">
      <protection hidden="1"/>
    </xf>
    <xf numFmtId="0" fontId="48" fillId="0" borderId="4" xfId="0" applyFont="1" applyBorder="1" applyAlignment="1" applyProtection="1">
      <alignment horizontal="center"/>
      <protection hidden="1"/>
    </xf>
    <xf numFmtId="176" fontId="48" fillId="0" borderId="4" xfId="0" applyNumberFormat="1" applyFont="1" applyBorder="1" applyAlignment="1" applyProtection="1">
      <alignment horizontal="center"/>
      <protection hidden="1"/>
    </xf>
    <xf numFmtId="167" fontId="48" fillId="0" borderId="4" xfId="0" applyNumberFormat="1" applyFont="1" applyBorder="1" applyAlignment="1" applyProtection="1">
      <alignment horizontal="center"/>
      <protection hidden="1"/>
    </xf>
    <xf numFmtId="0" fontId="48" fillId="0" borderId="5" xfId="0" applyFont="1" applyBorder="1" applyAlignment="1" applyProtection="1">
      <alignment horizontal="center" vertical="top" wrapText="1"/>
      <protection hidden="1"/>
    </xf>
    <xf numFmtId="0" fontId="48" fillId="0" borderId="5" xfId="0" applyFont="1" applyBorder="1" applyAlignment="1" applyProtection="1">
      <alignment horizontal="center"/>
      <protection hidden="1"/>
    </xf>
    <xf numFmtId="177" fontId="46" fillId="0" borderId="0" xfId="0" applyNumberFormat="1" applyFont="1" applyAlignment="1" applyProtection="1">
      <alignment horizontal="left"/>
      <protection hidden="1"/>
    </xf>
    <xf numFmtId="0" fontId="41" fillId="0" borderId="0" xfId="0" applyNumberFormat="1" applyFont="1" applyProtection="1">
      <protection hidden="1"/>
    </xf>
    <xf numFmtId="0" fontId="52" fillId="7" borderId="0" xfId="0" applyFont="1" applyFill="1"/>
    <xf numFmtId="0" fontId="41" fillId="7" borderId="0" xfId="0" applyFont="1" applyFill="1"/>
    <xf numFmtId="0" fontId="48" fillId="7" borderId="0" xfId="0" applyFont="1" applyFill="1"/>
    <xf numFmtId="0" fontId="44" fillId="7" borderId="0" xfId="0" applyFont="1" applyFill="1"/>
    <xf numFmtId="0" fontId="54" fillId="7" borderId="0" xfId="0" applyFont="1" applyFill="1" applyAlignment="1">
      <alignment horizontal="left" indent="5"/>
    </xf>
    <xf numFmtId="0" fontId="54" fillId="7" borderId="0" xfId="0" applyFont="1" applyFill="1" applyAlignment="1">
      <alignment horizontal="center"/>
    </xf>
    <xf numFmtId="0" fontId="55" fillId="7" borderId="0" xfId="0" applyFont="1" applyFill="1" applyAlignment="1">
      <alignment horizontal="left" indent="5"/>
    </xf>
    <xf numFmtId="43" fontId="41" fillId="7" borderId="0" xfId="1" applyFont="1" applyFill="1" applyBorder="1" applyProtection="1"/>
    <xf numFmtId="0" fontId="56" fillId="7" borderId="0" xfId="0" applyFont="1" applyFill="1" applyAlignment="1" applyProtection="1">
      <alignment horizontal="center"/>
    </xf>
    <xf numFmtId="0" fontId="57" fillId="7" borderId="0" xfId="0" applyFont="1" applyFill="1" applyProtection="1"/>
    <xf numFmtId="0" fontId="58" fillId="7" borderId="0" xfId="0" applyFont="1" applyFill="1" applyProtection="1"/>
    <xf numFmtId="0" fontId="56" fillId="7" borderId="0" xfId="0" applyFont="1" applyFill="1" applyProtection="1"/>
    <xf numFmtId="0" fontId="59" fillId="7" borderId="0" xfId="0" applyFont="1" applyFill="1" applyProtection="1"/>
    <xf numFmtId="0" fontId="42" fillId="0" borderId="0" xfId="0" applyFont="1" applyProtection="1"/>
    <xf numFmtId="0" fontId="44" fillId="7" borderId="0" xfId="0" applyFont="1" applyFill="1" applyAlignment="1" applyProtection="1">
      <alignment horizontal="center"/>
    </xf>
    <xf numFmtId="0" fontId="60" fillId="7" borderId="0" xfId="0" applyFont="1" applyFill="1" applyProtection="1"/>
    <xf numFmtId="0" fontId="61" fillId="7" borderId="0" xfId="0" applyFont="1" applyFill="1" applyProtection="1"/>
    <xf numFmtId="0" fontId="44" fillId="7" borderId="0" xfId="0" applyFont="1" applyFill="1" applyProtection="1"/>
    <xf numFmtId="0" fontId="62" fillId="7" borderId="0" xfId="0" applyFont="1" applyFill="1" applyProtection="1"/>
    <xf numFmtId="0" fontId="43" fillId="0" borderId="0" xfId="0" applyFont="1" applyProtection="1"/>
    <xf numFmtId="15" fontId="44" fillId="7" borderId="0" xfId="0" applyNumberFormat="1" applyFont="1" applyFill="1" applyAlignment="1" applyProtection="1">
      <alignment horizontal="center"/>
    </xf>
    <xf numFmtId="165" fontId="60" fillId="7" borderId="0" xfId="0" applyNumberFormat="1" applyFont="1" applyFill="1" applyProtection="1"/>
    <xf numFmtId="0" fontId="63" fillId="7" borderId="0" xfId="0" applyFont="1" applyFill="1" applyProtection="1"/>
    <xf numFmtId="0" fontId="64" fillId="7" borderId="0" xfId="0" applyFont="1" applyFill="1" applyAlignment="1" applyProtection="1">
      <alignment horizontal="center"/>
    </xf>
    <xf numFmtId="0" fontId="65" fillId="7" borderId="0" xfId="0" applyFont="1" applyFill="1" applyAlignment="1" applyProtection="1">
      <alignment horizontal="center"/>
    </xf>
    <xf numFmtId="0" fontId="66" fillId="7" borderId="0" xfId="0" applyFont="1" applyFill="1" applyAlignment="1" applyProtection="1">
      <alignment horizontal="center"/>
    </xf>
    <xf numFmtId="0" fontId="65" fillId="7" borderId="0" xfId="0" applyFont="1" applyFill="1" applyProtection="1"/>
    <xf numFmtId="0" fontId="66" fillId="7" borderId="0" xfId="0" applyFont="1" applyFill="1" applyProtection="1"/>
    <xf numFmtId="0" fontId="67" fillId="7" borderId="0" xfId="0" applyFont="1" applyFill="1" applyProtection="1"/>
    <xf numFmtId="0" fontId="41" fillId="7" borderId="0" xfId="0" applyFont="1" applyFill="1" applyProtection="1"/>
    <xf numFmtId="0" fontId="65" fillId="7" borderId="0" xfId="0" applyFont="1" applyFill="1"/>
    <xf numFmtId="0" fontId="66" fillId="7" borderId="0" xfId="0" applyFont="1" applyFill="1" applyBorder="1" applyAlignment="1" applyProtection="1">
      <alignment horizontal="center"/>
    </xf>
    <xf numFmtId="0" fontId="68" fillId="7" borderId="0" xfId="0" applyFont="1" applyFill="1" applyProtection="1"/>
    <xf numFmtId="15" fontId="65" fillId="7" borderId="0" xfId="0" applyNumberFormat="1" applyFont="1" applyFill="1" applyProtection="1"/>
    <xf numFmtId="1" fontId="65" fillId="7" borderId="0" xfId="0" applyNumberFormat="1" applyFont="1" applyFill="1" applyAlignment="1" applyProtection="1">
      <alignment horizontal="center"/>
    </xf>
    <xf numFmtId="14" fontId="65" fillId="7" borderId="0" xfId="0" applyNumberFormat="1" applyFont="1" applyFill="1" applyAlignment="1" applyProtection="1">
      <alignment horizontal="center"/>
    </xf>
    <xf numFmtId="179" fontId="65" fillId="7" borderId="0" xfId="0" applyNumberFormat="1" applyFont="1" applyFill="1" applyProtection="1"/>
    <xf numFmtId="0" fontId="69" fillId="7" borderId="0" xfId="0" applyFont="1" applyFill="1" applyBorder="1" applyAlignment="1" applyProtection="1">
      <alignment horizontal="center"/>
    </xf>
    <xf numFmtId="0" fontId="70" fillId="7" borderId="0" xfId="0" applyFont="1" applyFill="1" applyAlignment="1" applyProtection="1">
      <alignment horizontal="right"/>
    </xf>
    <xf numFmtId="0" fontId="70" fillId="7" borderId="0" xfId="0" applyFont="1" applyFill="1" applyAlignment="1" applyProtection="1">
      <alignment horizontal="center"/>
    </xf>
    <xf numFmtId="0" fontId="71" fillId="7" borderId="0" xfId="0" applyFont="1" applyFill="1" applyProtection="1"/>
    <xf numFmtId="0" fontId="69" fillId="7" borderId="0" xfId="0" applyFont="1" applyFill="1" applyProtection="1"/>
    <xf numFmtId="165" fontId="65" fillId="7" borderId="0" xfId="0" applyNumberFormat="1" applyFont="1" applyFill="1" applyAlignment="1" applyProtection="1">
      <alignment horizontal="right"/>
    </xf>
    <xf numFmtId="165" fontId="65" fillId="7" borderId="0" xfId="0" applyNumberFormat="1" applyFont="1" applyFill="1" applyProtection="1"/>
    <xf numFmtId="0" fontId="72" fillId="7" borderId="0" xfId="0" applyFont="1" applyFill="1" applyProtection="1"/>
    <xf numFmtId="0" fontId="46" fillId="7" borderId="0" xfId="0" applyFont="1" applyFill="1" applyProtection="1"/>
    <xf numFmtId="0" fontId="46" fillId="0" borderId="0" xfId="0" applyFont="1" applyProtection="1"/>
    <xf numFmtId="0" fontId="65" fillId="7" borderId="0" xfId="0" applyFont="1" applyFill="1" applyAlignment="1" applyProtection="1">
      <alignment horizontal="right"/>
    </xf>
    <xf numFmtId="0" fontId="64" fillId="7" borderId="0" xfId="0" applyFont="1" applyFill="1" applyProtection="1"/>
    <xf numFmtId="3" fontId="66" fillId="7" borderId="0" xfId="0" applyNumberFormat="1" applyFont="1" applyFill="1" applyBorder="1" applyAlignment="1" applyProtection="1">
      <alignment horizontal="center"/>
    </xf>
    <xf numFmtId="165" fontId="60" fillId="7" borderId="0" xfId="0" applyNumberFormat="1" applyFont="1" applyFill="1" applyAlignment="1" applyProtection="1">
      <alignment horizontal="center"/>
    </xf>
    <xf numFmtId="43" fontId="65" fillId="7" borderId="0" xfId="0" applyNumberFormat="1" applyFont="1" applyFill="1" applyAlignment="1" applyProtection="1">
      <alignment horizontal="right"/>
    </xf>
    <xf numFmtId="170" fontId="66" fillId="7" borderId="0" xfId="0" applyNumberFormat="1" applyFont="1" applyFill="1" applyBorder="1" applyAlignment="1" applyProtection="1">
      <alignment horizontal="center"/>
    </xf>
    <xf numFmtId="3" fontId="69" fillId="7" borderId="0" xfId="0" applyNumberFormat="1" applyFont="1" applyFill="1" applyAlignment="1" applyProtection="1">
      <alignment horizontal="center"/>
    </xf>
    <xf numFmtId="0" fontId="71" fillId="7" borderId="0" xfId="0" applyFont="1" applyFill="1" applyAlignment="1" applyProtection="1">
      <alignment horizontal="right"/>
    </xf>
    <xf numFmtId="165" fontId="71" fillId="7" borderId="0" xfId="0" applyNumberFormat="1" applyFont="1" applyFill="1" applyProtection="1"/>
    <xf numFmtId="165" fontId="68" fillId="7" borderId="0" xfId="0" applyNumberFormat="1" applyFont="1" applyFill="1" applyProtection="1"/>
    <xf numFmtId="3" fontId="66" fillId="7" borderId="0" xfId="0" applyNumberFormat="1" applyFont="1" applyFill="1" applyAlignment="1" applyProtection="1">
      <alignment horizontal="center"/>
    </xf>
    <xf numFmtId="3" fontId="55" fillId="7" borderId="0" xfId="0" applyNumberFormat="1" applyFont="1" applyFill="1" applyBorder="1" applyAlignment="1" applyProtection="1">
      <alignment horizontal="center"/>
    </xf>
    <xf numFmtId="0" fontId="65" fillId="7" borderId="0" xfId="0" applyFont="1" applyFill="1" applyAlignment="1" applyProtection="1">
      <alignment horizontal="left"/>
    </xf>
    <xf numFmtId="3" fontId="66" fillId="7" borderId="0" xfId="0" applyNumberFormat="1" applyFont="1" applyFill="1" applyBorder="1" applyAlignment="1" applyProtection="1">
      <alignment horizontal="left"/>
    </xf>
    <xf numFmtId="43" fontId="65" fillId="7" borderId="0" xfId="0" applyNumberFormat="1" applyFont="1" applyFill="1" applyProtection="1"/>
    <xf numFmtId="2" fontId="65" fillId="7" borderId="0" xfId="0" applyNumberFormat="1" applyFont="1" applyFill="1" applyProtection="1"/>
    <xf numFmtId="180" fontId="65" fillId="7" borderId="0" xfId="0" applyNumberFormat="1" applyFont="1" applyFill="1" applyProtection="1"/>
    <xf numFmtId="3" fontId="55" fillId="7" borderId="0" xfId="0" applyNumberFormat="1" applyFont="1" applyFill="1" applyAlignment="1" applyProtection="1">
      <alignment horizontal="center"/>
    </xf>
    <xf numFmtId="3" fontId="68" fillId="7" borderId="0" xfId="0" applyNumberFormat="1" applyFont="1" applyFill="1" applyAlignment="1" applyProtection="1">
      <alignment horizontal="center"/>
    </xf>
    <xf numFmtId="3" fontId="56" fillId="7" borderId="0" xfId="0" applyNumberFormat="1" applyFont="1" applyFill="1" applyAlignment="1" applyProtection="1">
      <alignment horizontal="center"/>
    </xf>
    <xf numFmtId="43" fontId="58" fillId="7" borderId="0" xfId="1" applyFont="1" applyFill="1" applyBorder="1" applyAlignment="1" applyProtection="1"/>
    <xf numFmtId="3" fontId="58" fillId="7" borderId="0" xfId="1" applyNumberFormat="1" applyFont="1" applyFill="1" applyAlignment="1" applyProtection="1">
      <alignment horizontal="center"/>
    </xf>
    <xf numFmtId="167" fontId="65" fillId="7" borderId="0" xfId="0" applyNumberFormat="1" applyFont="1" applyFill="1" applyProtection="1"/>
    <xf numFmtId="167" fontId="69" fillId="7" borderId="0" xfId="0" applyNumberFormat="1" applyFont="1" applyFill="1" applyAlignment="1" applyProtection="1">
      <alignment horizontal="center"/>
    </xf>
    <xf numFmtId="43" fontId="65" fillId="7" borderId="0" xfId="1" applyFont="1" applyFill="1" applyAlignment="1" applyProtection="1"/>
    <xf numFmtId="167" fontId="65" fillId="7" borderId="0" xfId="1" applyNumberFormat="1" applyFont="1" applyFill="1" applyAlignment="1" applyProtection="1"/>
    <xf numFmtId="0" fontId="65" fillId="7" borderId="0" xfId="0" applyFont="1" applyFill="1" applyAlignment="1" applyProtection="1"/>
    <xf numFmtId="167" fontId="60" fillId="7" borderId="0" xfId="0" applyNumberFormat="1" applyFont="1" applyFill="1" applyProtection="1"/>
    <xf numFmtId="167" fontId="65" fillId="7" borderId="6" xfId="1" applyNumberFormat="1" applyFont="1" applyFill="1" applyBorder="1" applyAlignment="1" applyProtection="1"/>
    <xf numFmtId="167" fontId="55" fillId="7" borderId="0" xfId="0" applyNumberFormat="1" applyFont="1" applyFill="1" applyAlignment="1" applyProtection="1">
      <alignment horizontal="center"/>
    </xf>
    <xf numFmtId="43" fontId="60" fillId="7" borderId="0" xfId="1" applyFont="1" applyFill="1" applyAlignment="1" applyProtection="1"/>
    <xf numFmtId="167" fontId="60" fillId="7" borderId="0" xfId="1" applyNumberFormat="1" applyFont="1" applyFill="1" applyBorder="1" applyAlignment="1" applyProtection="1"/>
    <xf numFmtId="0" fontId="60" fillId="7" borderId="0" xfId="0" applyFont="1" applyFill="1" applyAlignment="1" applyProtection="1"/>
    <xf numFmtId="43" fontId="68" fillId="7" borderId="2" xfId="1" applyFont="1" applyFill="1" applyBorder="1" applyAlignment="1" applyProtection="1"/>
    <xf numFmtId="167" fontId="60" fillId="7" borderId="2" xfId="0" applyNumberFormat="1" applyFont="1" applyFill="1" applyBorder="1" applyAlignment="1" applyProtection="1"/>
    <xf numFmtId="167" fontId="65" fillId="7" borderId="0" xfId="0" applyNumberFormat="1" applyFont="1" applyFill="1" applyAlignment="1" applyProtection="1"/>
    <xf numFmtId="0" fontId="70" fillId="7" borderId="0" xfId="0" applyFont="1" applyFill="1" applyProtection="1"/>
    <xf numFmtId="43" fontId="58" fillId="7" borderId="0" xfId="1" applyFont="1" applyFill="1" applyAlignment="1" applyProtection="1"/>
    <xf numFmtId="43" fontId="58" fillId="7" borderId="0" xfId="1" applyFont="1" applyFill="1" applyAlignment="1" applyProtection="1">
      <alignment horizontal="center"/>
    </xf>
    <xf numFmtId="167" fontId="65" fillId="7" borderId="0" xfId="0" applyNumberFormat="1" applyFont="1" applyFill="1" applyBorder="1" applyProtection="1"/>
    <xf numFmtId="0" fontId="65" fillId="7" borderId="0" xfId="0" applyFont="1" applyFill="1" applyBorder="1" applyProtection="1"/>
    <xf numFmtId="4" fontId="65" fillId="7" borderId="0" xfId="0" applyNumberFormat="1" applyFont="1" applyFill="1" applyBorder="1" applyProtection="1"/>
    <xf numFmtId="167" fontId="65" fillId="7" borderId="0" xfId="0" applyNumberFormat="1" applyFont="1" applyFill="1" applyAlignment="1" applyProtection="1">
      <alignment horizontal="right"/>
    </xf>
    <xf numFmtId="167" fontId="60" fillId="7" borderId="2" xfId="1" applyNumberFormat="1" applyFont="1" applyFill="1" applyBorder="1" applyAlignment="1" applyProtection="1"/>
    <xf numFmtId="0" fontId="68" fillId="7" borderId="0" xfId="0" applyFont="1" applyFill="1" applyAlignment="1" applyProtection="1">
      <alignment horizontal="center"/>
    </xf>
    <xf numFmtId="167" fontId="71" fillId="7" borderId="0" xfId="0" applyNumberFormat="1" applyFont="1" applyFill="1" applyAlignment="1" applyProtection="1">
      <alignment horizontal="center"/>
    </xf>
    <xf numFmtId="167" fontId="55" fillId="7" borderId="0" xfId="0" applyNumberFormat="1" applyFont="1" applyFill="1" applyBorder="1" applyAlignment="1" applyProtection="1">
      <alignment horizontal="center"/>
    </xf>
    <xf numFmtId="0" fontId="73" fillId="7" borderId="0" xfId="0" applyFont="1" applyFill="1" applyAlignment="1" applyProtection="1">
      <alignment horizontal="center"/>
    </xf>
    <xf numFmtId="0" fontId="55" fillId="7" borderId="0" xfId="0" applyFont="1" applyFill="1" applyAlignment="1" applyProtection="1">
      <alignment horizontal="center"/>
    </xf>
    <xf numFmtId="0" fontId="73" fillId="7" borderId="0" xfId="0" applyFont="1" applyFill="1" applyAlignment="1" applyProtection="1">
      <alignment horizontal="left"/>
    </xf>
    <xf numFmtId="0" fontId="47" fillId="7" borderId="0" xfId="0" applyFont="1" applyFill="1" applyAlignment="1" applyProtection="1">
      <alignment horizontal="center"/>
    </xf>
    <xf numFmtId="0" fontId="74" fillId="7" borderId="0" xfId="0" applyFont="1" applyFill="1" applyAlignment="1" applyProtection="1">
      <alignment horizontal="center"/>
    </xf>
    <xf numFmtId="0" fontId="48" fillId="7" borderId="0" xfId="0" applyFont="1" applyFill="1" applyAlignment="1" applyProtection="1">
      <alignment horizontal="center"/>
    </xf>
    <xf numFmtId="0" fontId="48" fillId="0" borderId="0" xfId="0" applyFont="1" applyAlignment="1" applyProtection="1">
      <alignment horizontal="center"/>
    </xf>
    <xf numFmtId="0" fontId="75" fillId="7" borderId="0" xfId="0" applyFont="1" applyFill="1" applyAlignment="1" applyProtection="1">
      <alignment horizontal="center"/>
    </xf>
    <xf numFmtId="0" fontId="76" fillId="7" borderId="0" xfId="0" applyFont="1" applyFill="1" applyAlignment="1" applyProtection="1">
      <alignment horizontal="center"/>
    </xf>
    <xf numFmtId="0" fontId="76" fillId="0" borderId="0" xfId="0" applyFont="1" applyAlignment="1" applyProtection="1">
      <alignment horizontal="center"/>
    </xf>
    <xf numFmtId="167" fontId="69" fillId="7" borderId="0" xfId="0" applyNumberFormat="1" applyFont="1" applyFill="1" applyAlignment="1" applyProtection="1">
      <alignment horizontal="center"/>
      <protection locked="0"/>
    </xf>
    <xf numFmtId="0" fontId="65" fillId="7" borderId="0" xfId="0" applyFont="1" applyFill="1" applyProtection="1">
      <protection locked="0"/>
    </xf>
    <xf numFmtId="0" fontId="68" fillId="7" borderId="0" xfId="0" applyFont="1" applyFill="1" applyAlignment="1" applyProtection="1">
      <alignment horizontal="center"/>
      <protection locked="0"/>
    </xf>
    <xf numFmtId="0" fontId="68" fillId="7" borderId="0" xfId="0" applyFont="1" applyFill="1" applyAlignment="1" applyProtection="1">
      <alignment horizontal="left"/>
      <protection locked="0"/>
    </xf>
    <xf numFmtId="0" fontId="73" fillId="7" borderId="0" xfId="0" applyFont="1" applyFill="1" applyAlignment="1" applyProtection="1">
      <alignment horizontal="center"/>
      <protection locked="0"/>
    </xf>
    <xf numFmtId="0" fontId="47" fillId="7" borderId="0" xfId="0" applyFont="1" applyFill="1" applyAlignment="1" applyProtection="1">
      <alignment horizontal="center"/>
      <protection locked="0"/>
    </xf>
    <xf numFmtId="0" fontId="75" fillId="7" borderId="0" xfId="0" applyFont="1" applyFill="1" applyAlignment="1" applyProtection="1">
      <alignment horizontal="center"/>
      <protection locked="0"/>
    </xf>
    <xf numFmtId="0" fontId="76" fillId="7" borderId="0" xfId="0" applyFont="1" applyFill="1" applyAlignment="1" applyProtection="1">
      <alignment horizontal="center"/>
      <protection locked="0"/>
    </xf>
    <xf numFmtId="0" fontId="76" fillId="0" borderId="0" xfId="0" applyFont="1" applyAlignment="1" applyProtection="1">
      <alignment horizontal="center"/>
      <protection locked="0"/>
    </xf>
    <xf numFmtId="167" fontId="55" fillId="7" borderId="0" xfId="0" applyNumberFormat="1" applyFont="1" applyFill="1" applyBorder="1" applyAlignment="1" applyProtection="1">
      <alignment horizontal="center"/>
      <protection locked="0"/>
    </xf>
    <xf numFmtId="0" fontId="66" fillId="7" borderId="0" xfId="0" applyFont="1" applyFill="1" applyProtection="1">
      <protection locked="0"/>
    </xf>
    <xf numFmtId="0" fontId="55" fillId="7" borderId="0" xfId="0" applyFont="1" applyFill="1" applyAlignment="1" applyProtection="1">
      <alignment horizontal="center" vertical="center" wrapText="1"/>
      <protection locked="0"/>
    </xf>
    <xf numFmtId="167" fontId="68" fillId="7" borderId="0" xfId="0" applyNumberFormat="1" applyFont="1" applyFill="1" applyAlignment="1" applyProtection="1">
      <alignment horizontal="center" vertical="center" wrapText="1"/>
      <protection locked="0"/>
    </xf>
    <xf numFmtId="0" fontId="68" fillId="7" borderId="0" xfId="0" applyFont="1" applyFill="1" applyAlignment="1" applyProtection="1">
      <alignment horizontal="center" vertical="center" wrapText="1"/>
      <protection locked="0"/>
    </xf>
    <xf numFmtId="0" fontId="67" fillId="7" borderId="0" xfId="0" applyFont="1" applyFill="1" applyProtection="1">
      <protection locked="0"/>
    </xf>
    <xf numFmtId="0" fontId="41" fillId="7" borderId="0" xfId="0" applyFont="1" applyFill="1" applyProtection="1">
      <protection locked="0"/>
    </xf>
    <xf numFmtId="0" fontId="44" fillId="7" borderId="0" xfId="0" applyFont="1" applyFill="1" applyProtection="1">
      <protection locked="0"/>
    </xf>
    <xf numFmtId="167" fontId="71" fillId="7" borderId="0" xfId="1" applyNumberFormat="1" applyFont="1" applyFill="1" applyAlignment="1" applyProtection="1">
      <alignment horizontal="right"/>
      <protection locked="0"/>
    </xf>
    <xf numFmtId="179" fontId="71" fillId="7" borderId="0" xfId="0" applyNumberFormat="1" applyFont="1" applyFill="1" applyAlignment="1" applyProtection="1">
      <alignment horizontal="center"/>
      <protection locked="0"/>
    </xf>
    <xf numFmtId="4" fontId="67" fillId="7" borderId="0" xfId="0" applyNumberFormat="1" applyFont="1" applyFill="1" applyProtection="1">
      <protection locked="0"/>
    </xf>
    <xf numFmtId="167" fontId="71" fillId="7" borderId="2" xfId="1" applyNumberFormat="1" applyFont="1" applyFill="1" applyBorder="1" applyAlignment="1" applyProtection="1">
      <alignment horizontal="right"/>
      <protection locked="0"/>
    </xf>
    <xf numFmtId="167" fontId="68" fillId="7" borderId="2" xfId="0" applyNumberFormat="1" applyFont="1" applyFill="1" applyBorder="1" applyAlignment="1" applyProtection="1">
      <alignment horizontal="center"/>
      <protection locked="0"/>
    </xf>
    <xf numFmtId="4" fontId="65" fillId="7" borderId="0" xfId="0" applyNumberFormat="1" applyFont="1" applyFill="1" applyProtection="1">
      <protection locked="0"/>
    </xf>
    <xf numFmtId="4" fontId="66" fillId="7" borderId="0" xfId="0" applyNumberFormat="1" applyFont="1" applyFill="1" applyProtection="1">
      <protection locked="0"/>
    </xf>
    <xf numFmtId="0" fontId="66" fillId="7" borderId="0" xfId="0" applyFont="1" applyFill="1" applyAlignment="1" applyProtection="1">
      <alignment horizontal="center"/>
      <protection locked="0"/>
    </xf>
    <xf numFmtId="0" fontId="73" fillId="7" borderId="0" xfId="0" applyFont="1" applyFill="1" applyProtection="1">
      <protection locked="0"/>
    </xf>
    <xf numFmtId="167" fontId="66" fillId="7" borderId="0" xfId="0" applyNumberFormat="1" applyFont="1" applyFill="1" applyProtection="1">
      <protection locked="0"/>
    </xf>
    <xf numFmtId="0" fontId="73" fillId="7" borderId="0" xfId="0" applyFont="1" applyFill="1" applyAlignment="1" applyProtection="1">
      <alignment horizontal="left"/>
      <protection locked="0"/>
    </xf>
    <xf numFmtId="1" fontId="41" fillId="7" borderId="0" xfId="1" applyNumberFormat="1" applyFont="1" applyFill="1" applyBorder="1" applyAlignment="1" applyProtection="1">
      <alignment horizontal="center"/>
    </xf>
    <xf numFmtId="1" fontId="41" fillId="7" borderId="3" xfId="1" applyNumberFormat="1" applyFont="1" applyFill="1" applyBorder="1" applyAlignment="1" applyProtection="1">
      <alignment horizontal="center"/>
    </xf>
    <xf numFmtId="1" fontId="41" fillId="7" borderId="0" xfId="0" applyNumberFormat="1" applyFont="1" applyFill="1" applyBorder="1" applyAlignment="1" applyProtection="1">
      <alignment horizontal="center"/>
    </xf>
    <xf numFmtId="43" fontId="42" fillId="7" borderId="0" xfId="1" applyFont="1" applyFill="1" applyBorder="1" applyAlignment="1" applyProtection="1"/>
    <xf numFmtId="43" fontId="42" fillId="7" borderId="0" xfId="1" applyFont="1" applyFill="1" applyBorder="1" applyAlignment="1" applyProtection="1">
      <alignment horizontal="center"/>
    </xf>
    <xf numFmtId="3" fontId="42" fillId="7" borderId="0" xfId="0" applyNumberFormat="1" applyFont="1" applyFill="1" applyAlignment="1" applyProtection="1">
      <alignment horizontal="center"/>
    </xf>
    <xf numFmtId="43" fontId="41" fillId="7" borderId="0" xfId="1" applyFont="1" applyFill="1" applyAlignment="1" applyProtection="1">
      <alignment horizontal="left" indent="11"/>
    </xf>
    <xf numFmtId="167" fontId="41" fillId="7" borderId="0" xfId="1" applyNumberFormat="1" applyFont="1" applyFill="1" applyAlignment="1" applyProtection="1">
      <alignment horizontal="center"/>
    </xf>
    <xf numFmtId="167" fontId="46" fillId="7" borderId="0" xfId="0" applyNumberFormat="1" applyFont="1" applyFill="1" applyAlignment="1" applyProtection="1">
      <alignment horizontal="center"/>
    </xf>
    <xf numFmtId="43" fontId="41" fillId="7" borderId="1" xfId="1" applyFont="1" applyFill="1" applyBorder="1" applyAlignment="1" applyProtection="1">
      <alignment horizontal="left" indent="11"/>
    </xf>
    <xf numFmtId="167" fontId="41" fillId="7" borderId="1" xfId="1" applyNumberFormat="1" applyFont="1" applyFill="1" applyBorder="1" applyAlignment="1" applyProtection="1">
      <alignment horizontal="center"/>
    </xf>
    <xf numFmtId="43" fontId="41" fillId="7" borderId="0" xfId="1" applyFont="1" applyFill="1" applyBorder="1" applyAlignment="1" applyProtection="1">
      <alignment horizontal="left" indent="11"/>
    </xf>
    <xf numFmtId="167" fontId="41" fillId="7" borderId="0" xfId="1" applyNumberFormat="1" applyFont="1" applyFill="1" applyBorder="1" applyAlignment="1" applyProtection="1">
      <alignment horizontal="center"/>
    </xf>
    <xf numFmtId="167" fontId="48" fillId="7" borderId="0" xfId="0" applyNumberFormat="1" applyFont="1" applyFill="1" applyAlignment="1" applyProtection="1">
      <alignment horizontal="center"/>
    </xf>
    <xf numFmtId="1" fontId="44" fillId="7" borderId="0" xfId="1" applyNumberFormat="1" applyFont="1" applyFill="1" applyAlignment="1" applyProtection="1">
      <alignment horizontal="center"/>
    </xf>
    <xf numFmtId="43" fontId="43" fillId="7" borderId="2" xfId="1" applyFont="1" applyFill="1" applyBorder="1" applyAlignment="1" applyProtection="1">
      <alignment horizontal="left" indent="11"/>
    </xf>
    <xf numFmtId="167" fontId="43" fillId="7" borderId="2" xfId="1" applyNumberFormat="1" applyFont="1" applyFill="1" applyBorder="1" applyAlignment="1" applyProtection="1">
      <alignment horizontal="center"/>
    </xf>
    <xf numFmtId="1" fontId="47" fillId="7" borderId="0" xfId="1" applyNumberFormat="1" applyFont="1" applyFill="1" applyAlignment="1" applyProtection="1">
      <alignment horizontal="center"/>
    </xf>
    <xf numFmtId="167" fontId="44" fillId="7" borderId="0" xfId="1" applyNumberFormat="1" applyFont="1" applyFill="1" applyAlignment="1" applyProtection="1">
      <alignment horizontal="center"/>
    </xf>
    <xf numFmtId="43" fontId="42" fillId="7" borderId="0" xfId="1" applyFont="1" applyFill="1" applyAlignment="1" applyProtection="1"/>
    <xf numFmtId="1" fontId="41" fillId="7" borderId="0" xfId="0" applyNumberFormat="1" applyFont="1" applyFill="1" applyAlignment="1" applyProtection="1">
      <alignment horizontal="center"/>
    </xf>
    <xf numFmtId="176" fontId="41" fillId="7" borderId="0" xfId="0" applyNumberFormat="1" applyFont="1" applyFill="1" applyAlignment="1" applyProtection="1">
      <alignment horizontal="center"/>
    </xf>
    <xf numFmtId="0" fontId="0" fillId="8" borderId="0" xfId="0" applyFill="1"/>
    <xf numFmtId="0" fontId="5" fillId="8" borderId="0" xfId="0" applyFont="1" applyFill="1"/>
    <xf numFmtId="0" fontId="77" fillId="0" borderId="0" xfId="0" applyFont="1" applyAlignment="1" applyProtection="1">
      <alignment horizontal="center"/>
      <protection hidden="1"/>
    </xf>
    <xf numFmtId="0" fontId="78" fillId="0" borderId="0" xfId="0" applyFont="1" applyProtection="1">
      <protection hidden="1"/>
    </xf>
    <xf numFmtId="0" fontId="78" fillId="0" borderId="0" xfId="0" applyFont="1"/>
    <xf numFmtId="49" fontId="77" fillId="0" borderId="0" xfId="0" applyNumberFormat="1" applyFont="1" applyAlignment="1" applyProtection="1">
      <alignment horizontal="center"/>
      <protection hidden="1"/>
    </xf>
    <xf numFmtId="0" fontId="77" fillId="0" borderId="4" xfId="0" applyFont="1" applyBorder="1" applyAlignment="1" applyProtection="1">
      <alignment horizontal="center" vertical="top" wrapText="1"/>
      <protection hidden="1"/>
    </xf>
    <xf numFmtId="0" fontId="77" fillId="0" borderId="4" xfId="0" applyFont="1" applyBorder="1" applyAlignment="1">
      <alignment horizontal="center"/>
    </xf>
    <xf numFmtId="0" fontId="77" fillId="0" borderId="0" xfId="0" applyFont="1" applyProtection="1">
      <protection hidden="1"/>
    </xf>
    <xf numFmtId="0" fontId="77" fillId="0" borderId="0" xfId="0" applyFont="1"/>
    <xf numFmtId="177" fontId="77" fillId="0" borderId="4" xfId="0" applyNumberFormat="1" applyFont="1" applyBorder="1" applyAlignment="1" applyProtection="1">
      <alignment horizontal="center"/>
      <protection hidden="1"/>
    </xf>
    <xf numFmtId="49" fontId="77" fillId="0" borderId="4" xfId="0" applyNumberFormat="1" applyFont="1" applyBorder="1" applyAlignment="1" applyProtection="1">
      <alignment horizontal="center"/>
      <protection hidden="1"/>
    </xf>
    <xf numFmtId="0" fontId="77" fillId="0" borderId="4" xfId="0" applyFont="1" applyBorder="1" applyAlignment="1" applyProtection="1">
      <alignment horizontal="center"/>
      <protection hidden="1"/>
    </xf>
    <xf numFmtId="176" fontId="77" fillId="0" borderId="4" xfId="0" applyNumberFormat="1" applyFont="1" applyBorder="1" applyAlignment="1" applyProtection="1">
      <alignment horizontal="center"/>
      <protection hidden="1"/>
    </xf>
    <xf numFmtId="0" fontId="77" fillId="0" borderId="4" xfId="0" applyFont="1" applyFill="1" applyBorder="1" applyAlignment="1" applyProtection="1">
      <alignment horizontal="center" vertical="top" wrapText="1"/>
      <protection hidden="1"/>
    </xf>
    <xf numFmtId="0" fontId="77" fillId="0" borderId="4" xfId="0" applyNumberFormat="1" applyFont="1" applyBorder="1" applyAlignment="1" applyProtection="1">
      <alignment horizontal="center"/>
      <protection hidden="1"/>
    </xf>
    <xf numFmtId="167" fontId="77" fillId="0" borderId="4" xfId="0" applyNumberFormat="1" applyFont="1" applyBorder="1" applyAlignment="1" applyProtection="1">
      <alignment horizontal="center"/>
      <protection hidden="1"/>
    </xf>
    <xf numFmtId="0" fontId="77" fillId="0" borderId="5" xfId="0" applyFont="1" applyBorder="1" applyAlignment="1" applyProtection="1">
      <alignment horizontal="center" vertical="top" wrapText="1"/>
      <protection hidden="1"/>
    </xf>
    <xf numFmtId="167" fontId="78" fillId="0" borderId="0" xfId="0" applyNumberFormat="1" applyFont="1" applyProtection="1">
      <protection hidden="1"/>
    </xf>
    <xf numFmtId="0" fontId="77" fillId="0" borderId="5" xfId="0" applyFont="1" applyBorder="1" applyAlignment="1" applyProtection="1">
      <alignment horizontal="center"/>
      <protection hidden="1"/>
    </xf>
    <xf numFmtId="177" fontId="78" fillId="0" borderId="0" xfId="0" applyNumberFormat="1" applyFont="1" applyAlignment="1" applyProtection="1">
      <alignment horizontal="left"/>
      <protection hidden="1"/>
    </xf>
    <xf numFmtId="0" fontId="79" fillId="0" borderId="0" xfId="0" applyFont="1" applyProtection="1">
      <protection hidden="1"/>
    </xf>
    <xf numFmtId="0" fontId="42" fillId="0" borderId="0" xfId="0" applyFont="1" applyAlignment="1" applyProtection="1">
      <alignment horizontal="left"/>
      <protection hidden="1"/>
    </xf>
    <xf numFmtId="43" fontId="42" fillId="0" borderId="0" xfId="0" applyNumberFormat="1" applyFont="1" applyAlignment="1" applyProtection="1">
      <alignment horizontal="left"/>
      <protection hidden="1"/>
    </xf>
    <xf numFmtId="0" fontId="24" fillId="0" borderId="0" xfId="0" applyFont="1" applyProtection="1">
      <protection hidden="1"/>
    </xf>
    <xf numFmtId="0" fontId="41" fillId="9" borderId="7" xfId="0" applyFont="1" applyFill="1" applyBorder="1" applyAlignment="1" applyProtection="1">
      <alignment horizontal="center"/>
    </xf>
    <xf numFmtId="1" fontId="26" fillId="9" borderId="8" xfId="1" applyNumberFormat="1" applyFont="1" applyFill="1" applyBorder="1" applyAlignment="1" applyProtection="1">
      <alignment horizontal="center" vertical="center"/>
    </xf>
    <xf numFmtId="1" fontId="26" fillId="9" borderId="9" xfId="1" applyNumberFormat="1" applyFont="1" applyFill="1" applyBorder="1" applyAlignment="1" applyProtection="1">
      <alignment horizontal="center"/>
    </xf>
    <xf numFmtId="0" fontId="27" fillId="9" borderId="7" xfId="0" applyFont="1" applyFill="1" applyBorder="1" applyAlignment="1" applyProtection="1">
      <alignment horizontal="center"/>
    </xf>
    <xf numFmtId="1" fontId="5" fillId="7" borderId="3" xfId="1" applyNumberFormat="1" applyFont="1" applyFill="1" applyBorder="1" applyAlignment="1" applyProtection="1">
      <alignment horizontal="center"/>
    </xf>
    <xf numFmtId="1" fontId="5" fillId="7" borderId="0" xfId="1" applyNumberFormat="1" applyFont="1" applyFill="1" applyBorder="1" applyAlignment="1" applyProtection="1">
      <alignment horizontal="center"/>
    </xf>
    <xf numFmtId="43" fontId="5" fillId="7" borderId="0" xfId="1" applyFont="1" applyFill="1" applyBorder="1" applyProtection="1"/>
    <xf numFmtId="43" fontId="5" fillId="7" borderId="0" xfId="1" applyFont="1" applyFill="1" applyBorder="1" applyAlignment="1" applyProtection="1">
      <alignment horizontal="center"/>
    </xf>
    <xf numFmtId="0" fontId="5" fillId="7" borderId="10" xfId="0" applyFont="1" applyFill="1" applyBorder="1" applyAlignment="1" applyProtection="1">
      <alignment horizontal="center"/>
    </xf>
    <xf numFmtId="1" fontId="28" fillId="7" borderId="3" xfId="1" applyNumberFormat="1" applyFont="1" applyFill="1" applyBorder="1" applyAlignment="1" applyProtection="1">
      <alignment horizontal="center"/>
    </xf>
    <xf numFmtId="1" fontId="28" fillId="7" borderId="0" xfId="1" applyNumberFormat="1" applyFont="1" applyFill="1" applyBorder="1" applyAlignment="1" applyProtection="1">
      <alignment horizontal="center"/>
    </xf>
    <xf numFmtId="43" fontId="29" fillId="2" borderId="0" xfId="1" applyFont="1" applyFill="1" applyBorder="1" applyAlignment="1" applyProtection="1">
      <alignment horizontal="center"/>
      <protection locked="0"/>
    </xf>
    <xf numFmtId="1" fontId="28" fillId="7" borderId="0" xfId="0" applyNumberFormat="1" applyFont="1" applyFill="1" applyAlignment="1" applyProtection="1">
      <alignment horizontal="center"/>
    </xf>
    <xf numFmtId="1" fontId="28" fillId="7" borderId="0" xfId="1" applyNumberFormat="1" applyFont="1" applyFill="1" applyAlignment="1" applyProtection="1">
      <alignment horizontal="center"/>
    </xf>
    <xf numFmtId="1" fontId="2" fillId="0" borderId="0" xfId="1" applyNumberFormat="1" applyFont="1" applyBorder="1" applyAlignment="1" applyProtection="1">
      <alignment horizontal="center"/>
    </xf>
    <xf numFmtId="164" fontId="30" fillId="6" borderId="11" xfId="1" applyNumberFormat="1" applyFont="1" applyFill="1" applyBorder="1" applyAlignment="1" applyProtection="1">
      <alignment horizontal="left"/>
    </xf>
    <xf numFmtId="164" fontId="31" fillId="2" borderId="6" xfId="1" applyNumberFormat="1" applyFont="1" applyFill="1" applyBorder="1" applyAlignment="1" applyProtection="1">
      <alignment horizontal="center"/>
      <protection locked="0"/>
    </xf>
    <xf numFmtId="164" fontId="31" fillId="5" borderId="7" xfId="1" applyNumberFormat="1" applyFont="1" applyFill="1" applyBorder="1" applyAlignment="1" applyProtection="1">
      <alignment horizontal="center"/>
    </xf>
    <xf numFmtId="43" fontId="28" fillId="0" borderId="0" xfId="1" applyFont="1" applyBorder="1" applyProtection="1"/>
    <xf numFmtId="0" fontId="28" fillId="5" borderId="10" xfId="0" applyFont="1" applyFill="1" applyBorder="1" applyAlignment="1" applyProtection="1">
      <alignment horizontal="center"/>
    </xf>
    <xf numFmtId="43" fontId="28" fillId="0" borderId="0" xfId="1" applyFont="1" applyBorder="1" applyAlignment="1" applyProtection="1">
      <alignment vertical="top" wrapText="1"/>
      <protection locked="0"/>
    </xf>
    <xf numFmtId="43" fontId="28" fillId="0" borderId="0" xfId="1" applyFont="1" applyBorder="1" applyProtection="1">
      <protection locked="0"/>
    </xf>
    <xf numFmtId="169" fontId="29" fillId="2" borderId="0" xfId="1" applyNumberFormat="1" applyFont="1" applyFill="1" applyBorder="1" applyAlignment="1" applyProtection="1">
      <alignment horizontal="center"/>
      <protection locked="0"/>
    </xf>
    <xf numFmtId="43" fontId="28" fillId="7" borderId="0" xfId="1" applyFont="1" applyFill="1" applyBorder="1" applyProtection="1"/>
    <xf numFmtId="3" fontId="29" fillId="2" borderId="0" xfId="1" applyNumberFormat="1" applyFont="1" applyFill="1" applyBorder="1" applyAlignment="1" applyProtection="1">
      <alignment horizontal="center"/>
      <protection locked="0"/>
    </xf>
    <xf numFmtId="3" fontId="28" fillId="5" borderId="10" xfId="0" applyNumberFormat="1" applyFont="1" applyFill="1" applyBorder="1" applyAlignment="1" applyProtection="1">
      <alignment horizontal="center"/>
    </xf>
    <xf numFmtId="164" fontId="29" fillId="2" borderId="0" xfId="1" applyNumberFormat="1" applyFont="1" applyFill="1" applyBorder="1" applyAlignment="1" applyProtection="1">
      <alignment horizontal="center"/>
      <protection locked="0"/>
    </xf>
    <xf numFmtId="170" fontId="31" fillId="2" borderId="10" xfId="0" applyNumberFormat="1" applyFont="1" applyFill="1" applyBorder="1" applyAlignment="1" applyProtection="1">
      <alignment horizontal="center"/>
      <protection locked="0"/>
    </xf>
    <xf numFmtId="170" fontId="28" fillId="5" borderId="10" xfId="0" applyNumberFormat="1" applyFont="1" applyFill="1" applyBorder="1" applyAlignment="1" applyProtection="1">
      <alignment horizontal="center"/>
    </xf>
    <xf numFmtId="164" fontId="31" fillId="5" borderId="6" xfId="1" applyNumberFormat="1" applyFont="1" applyFill="1" applyBorder="1" applyAlignment="1" applyProtection="1">
      <alignment horizontal="center"/>
    </xf>
    <xf numFmtId="170" fontId="31" fillId="2" borderId="12" xfId="0" applyNumberFormat="1" applyFont="1" applyFill="1" applyBorder="1" applyAlignment="1" applyProtection="1">
      <alignment horizontal="center"/>
      <protection locked="0"/>
    </xf>
    <xf numFmtId="43" fontId="46" fillId="0" borderId="0" xfId="1" applyFont="1" applyBorder="1" applyProtection="1"/>
    <xf numFmtId="164" fontId="80" fillId="0" borderId="0" xfId="1" applyNumberFormat="1" applyFont="1" applyAlignment="1" applyProtection="1">
      <alignment horizontal="center"/>
    </xf>
    <xf numFmtId="3" fontId="46" fillId="0" borderId="0" xfId="0" applyNumberFormat="1" applyFont="1" applyAlignment="1" applyProtection="1">
      <alignment horizontal="center"/>
    </xf>
    <xf numFmtId="1" fontId="81" fillId="9" borderId="8" xfId="1" applyNumberFormat="1" applyFont="1" applyFill="1" applyBorder="1" applyAlignment="1" applyProtection="1">
      <alignment horizontal="center"/>
    </xf>
    <xf numFmtId="1" fontId="41" fillId="9" borderId="9" xfId="1" applyNumberFormat="1" applyFont="1" applyFill="1" applyBorder="1" applyAlignment="1" applyProtection="1">
      <alignment horizontal="center"/>
    </xf>
    <xf numFmtId="43" fontId="41" fillId="9" borderId="9" xfId="1" applyFont="1" applyFill="1" applyBorder="1" applyProtection="1"/>
    <xf numFmtId="43" fontId="41" fillId="9" borderId="9" xfId="1" applyFont="1" applyFill="1" applyBorder="1" applyAlignment="1" applyProtection="1">
      <alignment horizontal="center"/>
    </xf>
    <xf numFmtId="1" fontId="29" fillId="2" borderId="3" xfId="1" applyNumberFormat="1" applyFont="1" applyFill="1" applyBorder="1" applyAlignment="1" applyProtection="1">
      <alignment horizontal="center" wrapText="1"/>
    </xf>
    <xf numFmtId="1" fontId="26" fillId="9" borderId="8" xfId="1" applyNumberFormat="1" applyFont="1" applyFill="1" applyBorder="1" applyAlignment="1" applyProtection="1">
      <alignment horizontal="center"/>
    </xf>
    <xf numFmtId="43" fontId="26" fillId="9" borderId="9" xfId="1" applyFont="1" applyFill="1" applyBorder="1" applyAlignment="1" applyProtection="1">
      <alignment horizontal="center"/>
    </xf>
    <xf numFmtId="164" fontId="26" fillId="9" borderId="9" xfId="1" applyNumberFormat="1" applyFont="1" applyFill="1" applyBorder="1" applyAlignment="1" applyProtection="1">
      <alignment horizontal="center"/>
    </xf>
    <xf numFmtId="3" fontId="26" fillId="9" borderId="7" xfId="0" applyNumberFormat="1" applyFont="1" applyFill="1" applyBorder="1" applyAlignment="1" applyProtection="1">
      <alignment horizontal="center"/>
    </xf>
    <xf numFmtId="43" fontId="28" fillId="7" borderId="0" xfId="1" applyFont="1" applyFill="1" applyBorder="1" applyAlignment="1" applyProtection="1">
      <alignment horizontal="right"/>
    </xf>
    <xf numFmtId="166" fontId="28" fillId="7" borderId="0" xfId="1" applyNumberFormat="1" applyFont="1" applyFill="1" applyBorder="1" applyAlignment="1" applyProtection="1">
      <alignment horizontal="center"/>
    </xf>
    <xf numFmtId="164" fontId="31" fillId="2" borderId="0" xfId="1" applyNumberFormat="1" applyFont="1" applyFill="1" applyBorder="1" applyAlignment="1" applyProtection="1">
      <alignment horizontal="center"/>
      <protection locked="0"/>
    </xf>
    <xf numFmtId="43" fontId="28" fillId="7" borderId="0" xfId="1" applyFont="1" applyFill="1" applyProtection="1"/>
    <xf numFmtId="3" fontId="28" fillId="7" borderId="0" xfId="1" applyNumberFormat="1" applyFont="1" applyFill="1" applyAlignment="1" applyProtection="1">
      <alignment horizontal="center"/>
    </xf>
    <xf numFmtId="3" fontId="28" fillId="0" borderId="0" xfId="0" applyNumberFormat="1" applyFont="1" applyAlignment="1" applyProtection="1">
      <alignment horizontal="center"/>
    </xf>
    <xf numFmtId="164" fontId="28" fillId="0" borderId="0" xfId="1" applyNumberFormat="1" applyFont="1" applyBorder="1" applyAlignment="1" applyProtection="1">
      <alignment horizontal="center"/>
    </xf>
    <xf numFmtId="167" fontId="32" fillId="9" borderId="13" xfId="0" applyNumberFormat="1" applyFont="1" applyFill="1" applyBorder="1" applyAlignment="1" applyProtection="1">
      <alignment horizontal="center"/>
    </xf>
    <xf numFmtId="1" fontId="81" fillId="9" borderId="9" xfId="1" applyNumberFormat="1" applyFont="1" applyFill="1" applyBorder="1" applyAlignment="1" applyProtection="1">
      <alignment horizontal="left"/>
    </xf>
    <xf numFmtId="164" fontId="82" fillId="9" borderId="0" xfId="1" applyNumberFormat="1" applyFont="1" applyFill="1" applyBorder="1" applyAlignment="1" applyProtection="1">
      <alignment horizontal="center"/>
    </xf>
    <xf numFmtId="3" fontId="82" fillId="9" borderId="10" xfId="0" applyNumberFormat="1" applyFont="1" applyFill="1" applyBorder="1" applyAlignment="1" applyProtection="1">
      <alignment horizontal="center"/>
    </xf>
    <xf numFmtId="1" fontId="7" fillId="7" borderId="0" xfId="0" applyNumberFormat="1" applyFont="1" applyFill="1" applyAlignment="1" applyProtection="1">
      <alignment horizontal="right"/>
      <protection locked="0"/>
    </xf>
    <xf numFmtId="0" fontId="7" fillId="7" borderId="0" xfId="0" applyFont="1" applyFill="1" applyProtection="1">
      <protection locked="0"/>
    </xf>
    <xf numFmtId="0" fontId="28" fillId="7" borderId="0" xfId="0" applyFont="1" applyFill="1" applyAlignment="1" applyProtection="1">
      <alignment horizontal="center"/>
      <protection locked="0"/>
    </xf>
    <xf numFmtId="1" fontId="28" fillId="0" borderId="0" xfId="0" applyNumberFormat="1" applyFont="1" applyAlignment="1" applyProtection="1">
      <alignment horizontal="center"/>
      <protection locked="0"/>
    </xf>
    <xf numFmtId="1" fontId="28" fillId="7" borderId="0" xfId="0" applyNumberFormat="1" applyFont="1" applyFill="1" applyAlignment="1" applyProtection="1">
      <alignment horizontal="center"/>
      <protection locked="0"/>
    </xf>
    <xf numFmtId="0" fontId="28" fillId="7" borderId="0" xfId="0" applyFont="1" applyFill="1" applyProtection="1">
      <protection locked="0"/>
    </xf>
    <xf numFmtId="188" fontId="28" fillId="7" borderId="0" xfId="0" applyNumberFormat="1" applyFont="1" applyFill="1" applyAlignment="1" applyProtection="1">
      <alignment horizontal="right"/>
      <protection locked="0"/>
    </xf>
    <xf numFmtId="43" fontId="28" fillId="7" borderId="0" xfId="1" applyFont="1" applyFill="1" applyAlignment="1" applyProtection="1">
      <protection locked="0"/>
    </xf>
    <xf numFmtId="14" fontId="28" fillId="7" borderId="0" xfId="0" applyNumberFormat="1" applyFont="1" applyFill="1" applyAlignment="1" applyProtection="1">
      <alignment horizontal="center"/>
      <protection locked="0"/>
    </xf>
    <xf numFmtId="167" fontId="33" fillId="7" borderId="8" xfId="0" applyNumberFormat="1" applyFont="1" applyFill="1" applyBorder="1" applyAlignment="1" applyProtection="1">
      <alignment horizontal="center" vertical="center" wrapText="1"/>
      <protection locked="0"/>
    </xf>
    <xf numFmtId="167" fontId="33" fillId="7" borderId="9" xfId="0" applyNumberFormat="1" applyFont="1" applyFill="1" applyBorder="1" applyAlignment="1" applyProtection="1">
      <alignment horizontal="center" vertical="center" wrapText="1"/>
      <protection locked="0"/>
    </xf>
    <xf numFmtId="0" fontId="33" fillId="7" borderId="9" xfId="0" applyFont="1" applyFill="1" applyBorder="1" applyAlignment="1" applyProtection="1">
      <alignment horizontal="left" vertical="center" wrapText="1" indent="11"/>
      <protection locked="0"/>
    </xf>
    <xf numFmtId="0" fontId="33" fillId="7" borderId="7" xfId="0" applyFont="1" applyFill="1" applyBorder="1" applyAlignment="1" applyProtection="1">
      <alignment horizontal="center" vertical="center" wrapText="1"/>
      <protection locked="0"/>
    </xf>
    <xf numFmtId="181" fontId="28" fillId="7" borderId="11" xfId="1" applyNumberFormat="1" applyFont="1" applyFill="1" applyBorder="1" applyAlignment="1" applyProtection="1">
      <alignment horizontal="right"/>
      <protection locked="0"/>
    </xf>
    <xf numFmtId="43" fontId="28" fillId="7" borderId="11" xfId="1" applyFont="1" applyFill="1" applyBorder="1" applyAlignment="1" applyProtection="1">
      <alignment horizontal="left" indent="11"/>
      <protection locked="0"/>
    </xf>
    <xf numFmtId="167" fontId="31" fillId="2" borderId="11" xfId="0" applyNumberFormat="1" applyFont="1" applyFill="1" applyBorder="1" applyAlignment="1" applyProtection="1">
      <alignment horizontal="center"/>
      <protection locked="0"/>
    </xf>
    <xf numFmtId="179" fontId="28" fillId="7" borderId="13" xfId="0" applyNumberFormat="1" applyFont="1" applyFill="1" applyBorder="1" applyAlignment="1" applyProtection="1">
      <alignment horizontal="center"/>
      <protection locked="0"/>
    </xf>
    <xf numFmtId="181" fontId="28" fillId="7" borderId="0" xfId="1" applyNumberFormat="1" applyFont="1" applyFill="1" applyBorder="1" applyAlignment="1" applyProtection="1">
      <alignment horizontal="right"/>
      <protection locked="0"/>
    </xf>
    <xf numFmtId="43" fontId="28" fillId="7" borderId="0" xfId="1" applyFont="1" applyFill="1" applyBorder="1" applyAlignment="1" applyProtection="1">
      <alignment horizontal="left" indent="11"/>
      <protection locked="0"/>
    </xf>
    <xf numFmtId="167" fontId="31" fillId="2" borderId="0" xfId="0" applyNumberFormat="1" applyFont="1" applyFill="1" applyBorder="1" applyAlignment="1" applyProtection="1">
      <alignment horizontal="center"/>
      <protection locked="0"/>
    </xf>
    <xf numFmtId="179" fontId="28" fillId="7" borderId="10" xfId="0" applyNumberFormat="1" applyFont="1" applyFill="1" applyBorder="1" applyAlignment="1" applyProtection="1">
      <alignment horizontal="center"/>
      <protection locked="0"/>
    </xf>
    <xf numFmtId="167" fontId="28" fillId="7" borderId="6" xfId="0" applyNumberFormat="1" applyFont="1" applyFill="1" applyBorder="1" applyAlignment="1" applyProtection="1">
      <alignment horizontal="right"/>
      <protection locked="0"/>
    </xf>
    <xf numFmtId="43" fontId="33" fillId="7" borderId="14" xfId="1" applyFont="1" applyFill="1" applyBorder="1" applyAlignment="1" applyProtection="1">
      <alignment horizontal="left" indent="11"/>
      <protection locked="0"/>
    </xf>
    <xf numFmtId="167" fontId="33" fillId="0" borderId="14" xfId="0" applyNumberFormat="1" applyFont="1" applyBorder="1" applyAlignment="1" applyProtection="1">
      <alignment horizontal="center"/>
      <protection locked="0"/>
    </xf>
    <xf numFmtId="167" fontId="33" fillId="7" borderId="15" xfId="0" applyNumberFormat="1" applyFont="1" applyFill="1" applyBorder="1" applyAlignment="1" applyProtection="1">
      <alignment horizontal="center"/>
      <protection locked="0"/>
    </xf>
    <xf numFmtId="1" fontId="26" fillId="9" borderId="16" xfId="1" applyNumberFormat="1" applyFont="1" applyFill="1" applyBorder="1" applyAlignment="1" applyProtection="1">
      <alignment horizontal="center"/>
    </xf>
    <xf numFmtId="43" fontId="26" fillId="9" borderId="11" xfId="1" applyFont="1" applyFill="1" applyBorder="1" applyAlignment="1" applyProtection="1">
      <alignment horizontal="left"/>
    </xf>
    <xf numFmtId="164" fontId="26" fillId="9" borderId="11" xfId="1" applyNumberFormat="1" applyFont="1" applyFill="1" applyBorder="1" applyAlignment="1" applyProtection="1">
      <alignment horizontal="center"/>
    </xf>
    <xf numFmtId="1" fontId="26" fillId="9" borderId="17" xfId="1" applyNumberFormat="1" applyFont="1" applyFill="1" applyBorder="1" applyAlignment="1" applyProtection="1">
      <alignment horizontal="center"/>
    </xf>
    <xf numFmtId="43" fontId="26" fillId="9" borderId="6" xfId="1" applyFont="1" applyFill="1" applyBorder="1" applyAlignment="1" applyProtection="1">
      <alignment horizontal="left"/>
    </xf>
    <xf numFmtId="164" fontId="26" fillId="9" borderId="6" xfId="1" applyNumberFormat="1" applyFont="1" applyFill="1" applyBorder="1" applyAlignment="1" applyProtection="1">
      <alignment horizontal="center"/>
    </xf>
    <xf numFmtId="167" fontId="26" fillId="9" borderId="11" xfId="0" applyNumberFormat="1" applyFont="1" applyFill="1" applyBorder="1" applyAlignment="1" applyProtection="1">
      <alignment horizontal="center" vertical="center"/>
      <protection locked="0"/>
    </xf>
    <xf numFmtId="167" fontId="26" fillId="9" borderId="13" xfId="0" applyNumberFormat="1" applyFont="1" applyFill="1" applyBorder="1" applyAlignment="1" applyProtection="1">
      <alignment horizontal="center" vertical="center"/>
      <protection locked="0"/>
    </xf>
    <xf numFmtId="1" fontId="26" fillId="9" borderId="16" xfId="1" applyNumberFormat="1" applyFont="1" applyFill="1" applyBorder="1" applyAlignment="1" applyProtection="1">
      <alignment horizontal="center" vertical="center"/>
      <protection locked="0"/>
    </xf>
    <xf numFmtId="0" fontId="26" fillId="9" borderId="11" xfId="0" applyFont="1" applyFill="1" applyBorder="1" applyAlignment="1" applyProtection="1">
      <alignment horizontal="left" vertical="center"/>
      <protection locked="0"/>
    </xf>
    <xf numFmtId="1" fontId="26" fillId="9" borderId="11" xfId="1" applyNumberFormat="1" applyFont="1" applyFill="1" applyBorder="1" applyAlignment="1" applyProtection="1">
      <alignment horizontal="center"/>
    </xf>
    <xf numFmtId="0" fontId="26" fillId="9" borderId="11" xfId="0" applyFont="1" applyFill="1" applyBorder="1" applyAlignment="1" applyProtection="1">
      <alignment horizontal="center"/>
    </xf>
    <xf numFmtId="167" fontId="26" fillId="9" borderId="11" xfId="0" applyNumberFormat="1" applyFont="1" applyFill="1" applyBorder="1" applyAlignment="1" applyProtection="1">
      <alignment horizontal="center"/>
    </xf>
    <xf numFmtId="1" fontId="26" fillId="9" borderId="16" xfId="0" applyNumberFormat="1" applyFont="1" applyFill="1" applyBorder="1" applyAlignment="1" applyProtection="1">
      <alignment horizontal="center"/>
      <protection locked="0"/>
    </xf>
    <xf numFmtId="1" fontId="26" fillId="9" borderId="11" xfId="0" applyNumberFormat="1" applyFont="1" applyFill="1" applyBorder="1" applyAlignment="1" applyProtection="1">
      <alignment horizontal="center"/>
      <protection locked="0"/>
    </xf>
    <xf numFmtId="0" fontId="7" fillId="7" borderId="11" xfId="0" applyFont="1" applyFill="1" applyBorder="1" applyProtection="1">
      <protection locked="0"/>
    </xf>
    <xf numFmtId="0" fontId="28" fillId="7" borderId="11" xfId="0" applyFont="1" applyFill="1" applyBorder="1" applyAlignment="1" applyProtection="1">
      <alignment horizontal="center"/>
      <protection locked="0"/>
    </xf>
    <xf numFmtId="0" fontId="28" fillId="7" borderId="13" xfId="0" applyFont="1" applyFill="1" applyBorder="1" applyAlignment="1" applyProtection="1">
      <alignment horizontal="center"/>
      <protection locked="0"/>
    </xf>
    <xf numFmtId="1" fontId="26" fillId="9" borderId="17" xfId="0" applyNumberFormat="1" applyFont="1" applyFill="1" applyBorder="1" applyAlignment="1" applyProtection="1">
      <alignment horizontal="center"/>
      <protection locked="0"/>
    </xf>
    <xf numFmtId="1" fontId="26" fillId="9" borderId="6" xfId="0" applyNumberFormat="1" applyFont="1" applyFill="1" applyBorder="1" applyAlignment="1" applyProtection="1">
      <alignment horizontal="center"/>
      <protection locked="0"/>
    </xf>
    <xf numFmtId="0" fontId="7" fillId="7" borderId="6" xfId="0" applyFont="1" applyFill="1" applyBorder="1" applyProtection="1">
      <protection locked="0"/>
    </xf>
    <xf numFmtId="0" fontId="28" fillId="7" borderId="6" xfId="0" applyFont="1" applyFill="1" applyBorder="1" applyAlignment="1" applyProtection="1">
      <alignment horizontal="center"/>
      <protection locked="0"/>
    </xf>
    <xf numFmtId="0" fontId="28" fillId="7" borderId="12" xfId="0" applyFont="1" applyFill="1" applyBorder="1" applyAlignment="1" applyProtection="1">
      <alignment horizontal="center"/>
      <protection locked="0"/>
    </xf>
    <xf numFmtId="1" fontId="26" fillId="9" borderId="18" xfId="0" applyNumberFormat="1" applyFont="1" applyFill="1" applyBorder="1" applyAlignment="1" applyProtection="1">
      <alignment horizontal="center" wrapText="1"/>
      <protection locked="0"/>
    </xf>
    <xf numFmtId="43" fontId="35" fillId="7" borderId="0" xfId="1" applyFont="1" applyFill="1" applyBorder="1" applyAlignment="1" applyProtection="1">
      <alignment horizontal="center" vertical="center"/>
    </xf>
    <xf numFmtId="164" fontId="28" fillId="5" borderId="8" xfId="1" applyNumberFormat="1" applyFont="1" applyFill="1" applyBorder="1" applyAlignment="1" applyProtection="1">
      <alignment horizontal="center"/>
    </xf>
    <xf numFmtId="3" fontId="28" fillId="5" borderId="7" xfId="0" applyNumberFormat="1" applyFont="1" applyFill="1" applyBorder="1" applyAlignment="1" applyProtection="1">
      <alignment horizontal="center"/>
    </xf>
    <xf numFmtId="1" fontId="34" fillId="7" borderId="3" xfId="0" applyNumberFormat="1" applyFont="1" applyFill="1" applyBorder="1" applyAlignment="1" applyProtection="1">
      <alignment horizontal="center"/>
    </xf>
    <xf numFmtId="1" fontId="34" fillId="7" borderId="0" xfId="0" applyNumberFormat="1" applyFont="1" applyFill="1" applyBorder="1" applyAlignment="1" applyProtection="1">
      <alignment horizontal="center"/>
    </xf>
    <xf numFmtId="0" fontId="34" fillId="7" borderId="0" xfId="0" applyFont="1" applyFill="1" applyBorder="1" applyAlignment="1" applyProtection="1">
      <alignment horizontal="center"/>
    </xf>
    <xf numFmtId="167" fontId="7" fillId="7" borderId="0" xfId="0" applyNumberFormat="1" applyFont="1" applyFill="1" applyBorder="1" applyAlignment="1" applyProtection="1">
      <alignment horizontal="center"/>
    </xf>
    <xf numFmtId="167" fontId="7" fillId="7" borderId="10" xfId="0" applyNumberFormat="1" applyFont="1" applyFill="1" applyBorder="1" applyAlignment="1" applyProtection="1">
      <alignment horizontal="center"/>
    </xf>
    <xf numFmtId="1" fontId="34" fillId="7" borderId="17" xfId="0" applyNumberFormat="1" applyFont="1" applyFill="1" applyBorder="1" applyAlignment="1" applyProtection="1">
      <alignment horizontal="center"/>
    </xf>
    <xf numFmtId="1" fontId="34" fillId="7" borderId="6" xfId="0" applyNumberFormat="1" applyFont="1" applyFill="1" applyBorder="1" applyAlignment="1" applyProtection="1">
      <alignment horizontal="center"/>
    </xf>
    <xf numFmtId="0" fontId="34" fillId="7" borderId="6" xfId="0" applyFont="1" applyFill="1" applyBorder="1" applyAlignment="1" applyProtection="1">
      <alignment horizontal="center"/>
    </xf>
    <xf numFmtId="167" fontId="7" fillId="7" borderId="6" xfId="0" applyNumberFormat="1" applyFont="1" applyFill="1" applyBorder="1" applyAlignment="1" applyProtection="1">
      <alignment horizontal="center"/>
    </xf>
    <xf numFmtId="167" fontId="7" fillId="7" borderId="12" xfId="0" applyNumberFormat="1" applyFont="1" applyFill="1" applyBorder="1" applyAlignment="1" applyProtection="1">
      <alignment horizontal="center"/>
    </xf>
    <xf numFmtId="167" fontId="28" fillId="10" borderId="16" xfId="1" applyNumberFormat="1" applyFont="1" applyFill="1" applyBorder="1" applyAlignment="1" applyProtection="1">
      <alignment horizontal="right"/>
      <protection locked="0"/>
    </xf>
    <xf numFmtId="167" fontId="28" fillId="10" borderId="3" xfId="1" applyNumberFormat="1" applyFont="1" applyFill="1" applyBorder="1" applyAlignment="1" applyProtection="1">
      <alignment horizontal="right"/>
      <protection locked="0"/>
    </xf>
    <xf numFmtId="167" fontId="28" fillId="10" borderId="17" xfId="1" applyNumberFormat="1" applyFont="1" applyFill="1" applyBorder="1" applyAlignment="1" applyProtection="1">
      <alignment horizontal="right"/>
      <protection locked="0"/>
    </xf>
    <xf numFmtId="43" fontId="39" fillId="2" borderId="0" xfId="1" applyFont="1" applyFill="1" applyBorder="1" applyAlignment="1" applyProtection="1">
      <alignment horizontal="center"/>
      <protection locked="0"/>
    </xf>
    <xf numFmtId="43" fontId="39" fillId="2" borderId="10" xfId="1" applyFont="1" applyFill="1" applyBorder="1" applyAlignment="1" applyProtection="1">
      <alignment horizontal="center"/>
      <protection locked="0"/>
    </xf>
    <xf numFmtId="49" fontId="39" fillId="2" borderId="0" xfId="1" applyNumberFormat="1" applyFont="1" applyFill="1" applyBorder="1" applyAlignment="1" applyProtection="1">
      <alignment horizontal="center"/>
      <protection locked="0"/>
    </xf>
    <xf numFmtId="49" fontId="39" fillId="2" borderId="10" xfId="1" applyNumberFormat="1" applyFont="1" applyFill="1" applyBorder="1" applyAlignment="1" applyProtection="1">
      <alignment horizontal="center"/>
      <protection locked="0"/>
    </xf>
    <xf numFmtId="43" fontId="83" fillId="2" borderId="9" xfId="1" applyFont="1" applyFill="1" applyBorder="1" applyAlignment="1" applyProtection="1">
      <alignment horizontal="center" vertical="center"/>
    </xf>
    <xf numFmtId="43" fontId="26" fillId="9" borderId="9" xfId="1" applyFont="1" applyFill="1" applyBorder="1" applyAlignment="1" applyProtection="1">
      <alignment horizontal="center"/>
    </xf>
    <xf numFmtId="43" fontId="26" fillId="9" borderId="7" xfId="1" applyFont="1" applyFill="1" applyBorder="1" applyAlignment="1" applyProtection="1">
      <alignment horizontal="center"/>
    </xf>
    <xf numFmtId="3" fontId="81" fillId="9" borderId="19" xfId="0" applyNumberFormat="1" applyFont="1" applyFill="1" applyBorder="1" applyAlignment="1" applyProtection="1">
      <alignment horizontal="center" vertical="center"/>
    </xf>
    <xf numFmtId="3" fontId="81" fillId="9" borderId="20" xfId="0" applyNumberFormat="1" applyFont="1" applyFill="1" applyBorder="1" applyAlignment="1" applyProtection="1">
      <alignment horizontal="center" vertical="center"/>
    </xf>
    <xf numFmtId="3" fontId="81" fillId="9" borderId="13" xfId="0" applyNumberFormat="1" applyFont="1" applyFill="1" applyBorder="1" applyAlignment="1" applyProtection="1">
      <alignment horizontal="center" vertical="center" wrapText="1"/>
    </xf>
    <xf numFmtId="3" fontId="81" fillId="9" borderId="12" xfId="0" applyNumberFormat="1" applyFont="1" applyFill="1" applyBorder="1" applyAlignment="1" applyProtection="1">
      <alignment horizontal="center" vertical="center" wrapText="1"/>
    </xf>
    <xf numFmtId="49" fontId="40" fillId="2" borderId="0" xfId="2" applyNumberFormat="1" applyFont="1" applyFill="1" applyBorder="1" applyAlignment="1" applyProtection="1">
      <alignment horizontal="center"/>
      <protection locked="0"/>
    </xf>
    <xf numFmtId="49" fontId="40" fillId="2" borderId="10" xfId="2" applyNumberFormat="1" applyFont="1" applyFill="1" applyBorder="1" applyAlignment="1" applyProtection="1">
      <alignment horizontal="center"/>
      <protection locked="0"/>
    </xf>
    <xf numFmtId="176" fontId="38" fillId="2" borderId="0" xfId="2" applyNumberFormat="1" applyFont="1" applyFill="1" applyBorder="1" applyAlignment="1" applyProtection="1">
      <alignment horizontal="center"/>
      <protection locked="0"/>
    </xf>
    <xf numFmtId="176" fontId="39" fillId="2" borderId="0" xfId="0" applyNumberFormat="1" applyFont="1" applyFill="1" applyBorder="1" applyAlignment="1" applyProtection="1">
      <alignment horizontal="center"/>
      <protection locked="0"/>
    </xf>
    <xf numFmtId="176" fontId="39" fillId="2" borderId="10" xfId="0" applyNumberFormat="1" applyFont="1" applyFill="1" applyBorder="1" applyAlignment="1" applyProtection="1">
      <alignment horizontal="center"/>
      <protection locked="0"/>
    </xf>
    <xf numFmtId="49" fontId="39" fillId="2" borderId="0" xfId="0" applyNumberFormat="1" applyFont="1" applyFill="1" applyBorder="1" applyAlignment="1" applyProtection="1">
      <alignment horizontal="center"/>
      <protection locked="0"/>
    </xf>
    <xf numFmtId="49" fontId="39" fillId="2" borderId="10" xfId="0" applyNumberFormat="1" applyFont="1" applyFill="1" applyBorder="1" applyAlignment="1" applyProtection="1">
      <alignment horizontal="center"/>
      <protection locked="0"/>
    </xf>
    <xf numFmtId="0" fontId="78" fillId="0" borderId="0" xfId="0" applyFont="1" applyAlignment="1" applyProtection="1">
      <alignment wrapText="1"/>
      <protection hidden="1"/>
    </xf>
    <xf numFmtId="0" fontId="0" fillId="0" borderId="0" xfId="0" applyAlignment="1"/>
    <xf numFmtId="0" fontId="78" fillId="0" borderId="21" xfId="0" applyFont="1" applyBorder="1" applyAlignment="1" applyProtection="1">
      <alignment horizontal="left" vertical="top" wrapText="1"/>
      <protection hidden="1"/>
    </xf>
    <xf numFmtId="0" fontId="5" fillId="0" borderId="21" xfId="0" applyFont="1" applyBorder="1" applyAlignment="1">
      <alignment horizontal="left"/>
    </xf>
    <xf numFmtId="43" fontId="84" fillId="7" borderId="0" xfId="1" applyFont="1" applyFill="1" applyBorder="1" applyProtection="1">
      <protection locked="0"/>
    </xf>
    <xf numFmtId="43" fontId="84" fillId="7" borderId="0" xfId="1" applyFont="1" applyFill="1" applyBorder="1" applyProtection="1"/>
    <xf numFmtId="43" fontId="84" fillId="7" borderId="0" xfId="1" applyFont="1" applyFill="1" applyBorder="1" applyAlignment="1" applyProtection="1">
      <alignment vertical="top" wrapText="1"/>
    </xf>
    <xf numFmtId="43" fontId="84" fillId="7" borderId="0" xfId="1" applyFont="1" applyFill="1" applyBorder="1" applyAlignment="1" applyProtection="1">
      <alignment horizontal="left"/>
    </xf>
    <xf numFmtId="43" fontId="84" fillId="7" borderId="0" xfId="1" applyFont="1" applyFill="1" applyBorder="1" applyAlignment="1" applyProtection="1">
      <alignment horizontal="left" vertical="top" wrapText="1"/>
    </xf>
    <xf numFmtId="0" fontId="47" fillId="7" borderId="0" xfId="0" applyFont="1" applyFill="1" applyBorder="1" applyAlignment="1" applyProtection="1">
      <alignment vertical="center"/>
    </xf>
    <xf numFmtId="0" fontId="47" fillId="7" borderId="0" xfId="0" applyFont="1" applyFill="1" applyBorder="1" applyAlignment="1" applyProtection="1">
      <alignment vertical="center" wrapText="1"/>
    </xf>
    <xf numFmtId="0" fontId="47" fillId="7" borderId="0" xfId="0" applyFont="1" applyFill="1" applyBorder="1" applyAlignment="1" applyProtection="1">
      <alignment horizontal="center" vertical="center"/>
    </xf>
    <xf numFmtId="0" fontId="41" fillId="7" borderId="0" xfId="0" applyFont="1" applyFill="1" applyBorder="1" applyAlignment="1" applyProtection="1">
      <alignment vertical="center" wrapText="1"/>
    </xf>
    <xf numFmtId="0" fontId="35" fillId="7" borderId="0" xfId="0" applyFont="1" applyFill="1" applyBorder="1" applyAlignment="1" applyProtection="1">
      <alignment horizontal="center" vertical="center"/>
    </xf>
    <xf numFmtId="0" fontId="36" fillId="7" borderId="0" xfId="0" applyFont="1" applyFill="1" applyBorder="1" applyAlignment="1" applyProtection="1">
      <alignment vertical="center" wrapText="1"/>
    </xf>
    <xf numFmtId="0" fontId="37" fillId="7" borderId="0" xfId="0" applyFont="1" applyFill="1" applyBorder="1" applyAlignment="1" applyProtection="1">
      <alignment vertical="center" wrapText="1"/>
    </xf>
    <xf numFmtId="0" fontId="35" fillId="7" borderId="0" xfId="0" applyFont="1" applyFill="1" applyBorder="1" applyAlignment="1" applyProtection="1">
      <alignment horizontal="left" vertical="center"/>
    </xf>
    <xf numFmtId="0" fontId="41" fillId="7" borderId="0" xfId="0" applyFont="1" applyFill="1" applyBorder="1" applyProtection="1"/>
    <xf numFmtId="0" fontId="41" fillId="7" borderId="0" xfId="0" applyFont="1" applyFill="1" applyBorder="1" applyAlignment="1" applyProtection="1">
      <alignment vertical="center"/>
    </xf>
    <xf numFmtId="0" fontId="51" fillId="7" borderId="0" xfId="0" applyFont="1" applyFill="1" applyProtection="1"/>
    <xf numFmtId="0" fontId="53" fillId="7" borderId="0" xfId="0" applyFont="1" applyFill="1" applyProtection="1"/>
    <xf numFmtId="0" fontId="41" fillId="7" borderId="0" xfId="0" applyFont="1" applyFill="1" applyAlignment="1" applyProtection="1">
      <alignment horizontal="left" indent="5"/>
    </xf>
    <xf numFmtId="0" fontId="53" fillId="7" borderId="0" xfId="0" applyFont="1" applyFill="1" applyAlignment="1" applyProtection="1">
      <alignment horizontal="left"/>
    </xf>
    <xf numFmtId="0" fontId="53" fillId="7" borderId="0" xfId="0" applyFont="1" applyFill="1" applyAlignment="1" applyProtection="1">
      <alignment horizontal="left" indent="5"/>
    </xf>
    <xf numFmtId="0" fontId="41" fillId="7" borderId="0" xfId="0" applyFont="1" applyFill="1" applyAlignment="1" applyProtection="1">
      <alignment horizontal="left" vertical="center"/>
    </xf>
    <xf numFmtId="0" fontId="54" fillId="7" borderId="0" xfId="0" applyFont="1" applyFill="1" applyProtection="1"/>
  </cellXfs>
  <cellStyles count="3">
    <cellStyle name="Comma" xfId="1" builtinId="3"/>
    <cellStyle name="Hyperlink" xfId="2" builtinId="8"/>
    <cellStyle name="Normal" xfId="0" builtinId="0"/>
  </cellStyles>
  <dxfs count="4">
    <dxf>
      <font>
        <strike val="0"/>
        <outline val="0"/>
        <shadow val="0"/>
        <vertAlign val="baseline"/>
        <name val="Calibri"/>
        <scheme val="minor"/>
      </font>
      <fill>
        <patternFill patternType="solid">
          <fgColor indexed="64"/>
          <bgColor theme="0"/>
        </patternFill>
      </fill>
    </dxf>
    <dxf>
      <font>
        <b/>
        <i val="0"/>
        <strike val="0"/>
        <condense val="0"/>
        <extend val="0"/>
        <outline val="0"/>
        <shadow val="0"/>
        <u val="none"/>
        <vertAlign val="baseline"/>
        <sz val="10"/>
        <color indexed="9"/>
        <name val="Calibri"/>
        <scheme val="minor"/>
      </font>
      <fill>
        <patternFill patternType="solid">
          <fgColor indexed="64"/>
          <bgColor theme="0"/>
        </patternFill>
      </fill>
      <protection locked="1" hidden="0"/>
    </dxf>
    <dxf>
      <font>
        <strike val="0"/>
        <outline val="0"/>
        <shadow val="0"/>
        <vertAlign val="baseline"/>
        <name val="Calibri"/>
        <scheme val="minor"/>
      </font>
      <fill>
        <patternFill patternType="solid">
          <fgColor indexed="64"/>
          <bgColor theme="0"/>
        </patternFill>
      </fill>
    </dxf>
    <dxf>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Basis of Costs'!A1"/><Relationship Id="rId2" Type="http://schemas.openxmlformats.org/officeDocument/2006/relationships/hyperlink" Target="#'Cost of Attendance'!A1"/><Relationship Id="rId1" Type="http://schemas.openxmlformats.org/officeDocument/2006/relationships/hyperlink" Target="#Introduction!A1"/><Relationship Id="rId5" Type="http://schemas.openxmlformats.org/officeDocument/2006/relationships/image" Target="../media/image1.jpeg"/><Relationship Id="rId4" Type="http://schemas.openxmlformats.org/officeDocument/2006/relationships/hyperlink" Target="http://www.lse.ac.uk/intranet/LSEServices/financeDivision/feesAndStudentFinance/feesAndLoans/LoansUSA.aspx"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548640</xdr:colOff>
      <xdr:row>5</xdr:row>
      <xdr:rowOff>142875</xdr:rowOff>
    </xdr:from>
    <xdr:to>
      <xdr:col>5</xdr:col>
      <xdr:colOff>529627</xdr:colOff>
      <xdr:row>13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85ACF260-8A5C-06FA-DE2E-23CA7A68AA76}"/>
            </a:ext>
          </a:extLst>
        </xdr:cNvPr>
        <xdr:cNvSpPr txBox="1"/>
      </xdr:nvSpPr>
      <xdr:spPr>
        <a:xfrm>
          <a:off x="1152525" y="952500"/>
          <a:ext cx="2428875" cy="1162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1600" b="1"/>
            <a:t>Step</a:t>
          </a:r>
          <a:r>
            <a:rPr lang="en-GB" sz="1600" b="1" baseline="0"/>
            <a:t> 1: </a:t>
          </a:r>
          <a:r>
            <a:rPr lang="en-GB" sz="1600" b="1"/>
            <a:t>Introduction </a:t>
          </a:r>
          <a:endParaRPr lang="en-GB" sz="1100" b="1"/>
        </a:p>
        <a:p>
          <a:pPr algn="ctr"/>
          <a:r>
            <a:rPr lang="en-GB" sz="1100" b="1"/>
            <a:t>Information</a:t>
          </a:r>
          <a:r>
            <a:rPr lang="en-GB" sz="1100" b="1" baseline="0"/>
            <a:t> only - please read</a:t>
          </a:r>
          <a:endParaRPr lang="en-GB" sz="1100" b="1"/>
        </a:p>
      </xdr:txBody>
    </xdr:sp>
    <xdr:clientData/>
  </xdr:twoCellAnchor>
  <xdr:twoCellAnchor>
    <xdr:from>
      <xdr:col>6</xdr:col>
      <xdr:colOff>121920</xdr:colOff>
      <xdr:row>6</xdr:row>
      <xdr:rowOff>0</xdr:rowOff>
    </xdr:from>
    <xdr:to>
      <xdr:col>10</xdr:col>
      <xdr:colOff>114314</xdr:colOff>
      <xdr:row>13</xdr:row>
      <xdr:rowOff>28575</xdr:rowOff>
    </xdr:to>
    <xdr:sp macro="" textlink="">
      <xdr:nvSpPr>
        <xdr:cNvPr id="3" name="TextBox 2">
          <a:hlinkClick xmlns:r="http://schemas.openxmlformats.org/officeDocument/2006/relationships" r:id="rId2"/>
          <a:extLst>
            <a:ext uri="{FF2B5EF4-FFF2-40B4-BE49-F238E27FC236}">
              <a16:creationId xmlns:a16="http://schemas.microsoft.com/office/drawing/2014/main" id="{7D336566-C2E2-E5C0-46E3-14D08C7AF324}"/>
            </a:ext>
          </a:extLst>
        </xdr:cNvPr>
        <xdr:cNvSpPr txBox="1"/>
      </xdr:nvSpPr>
      <xdr:spPr>
        <a:xfrm>
          <a:off x="3781425" y="971550"/>
          <a:ext cx="2428875" cy="1162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1400" b="1"/>
            <a:t>Step 3: Cost of attendance spreadsheet</a:t>
          </a:r>
        </a:p>
      </xdr:txBody>
    </xdr:sp>
    <xdr:clientData/>
  </xdr:twoCellAnchor>
  <xdr:twoCellAnchor>
    <xdr:from>
      <xdr:col>1</xdr:col>
      <xdr:colOff>558165</xdr:colOff>
      <xdr:row>13</xdr:row>
      <xdr:rowOff>104775</xdr:rowOff>
    </xdr:from>
    <xdr:to>
      <xdr:col>5</xdr:col>
      <xdr:colOff>550559</xdr:colOff>
      <xdr:row>20</xdr:row>
      <xdr:rowOff>133350</xdr:rowOff>
    </xdr:to>
    <xdr:sp macro="" textlink="">
      <xdr:nvSpPr>
        <xdr:cNvPr id="5" name="TextBox 4">
          <a:hlinkClick xmlns:r="http://schemas.openxmlformats.org/officeDocument/2006/relationships" r:id="rId3"/>
          <a:extLst>
            <a:ext uri="{FF2B5EF4-FFF2-40B4-BE49-F238E27FC236}">
              <a16:creationId xmlns:a16="http://schemas.microsoft.com/office/drawing/2014/main" id="{C7124334-DBED-5594-AD20-63170C6175BD}"/>
            </a:ext>
          </a:extLst>
        </xdr:cNvPr>
        <xdr:cNvSpPr txBox="1"/>
      </xdr:nvSpPr>
      <xdr:spPr>
        <a:xfrm>
          <a:off x="1171575" y="2209800"/>
          <a:ext cx="2428875" cy="11620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100" b="0"/>
        </a:p>
        <a:p>
          <a:pPr algn="ctr"/>
          <a:endParaRPr lang="en-GB" sz="1400" b="1"/>
        </a:p>
        <a:p>
          <a:pPr algn="ctr"/>
          <a:r>
            <a:rPr lang="en-GB" sz="1600" b="1"/>
            <a:t>Step 2: Basis</a:t>
          </a:r>
          <a:r>
            <a:rPr lang="en-GB" sz="1600" b="1" baseline="0"/>
            <a:t> of costs</a:t>
          </a:r>
          <a:endParaRPr lang="en-GB" sz="1600" b="1"/>
        </a:p>
        <a:p>
          <a:pPr marL="0" marR="0" indent="0" algn="ctr"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Information</a:t>
          </a:r>
          <a:r>
            <a:rPr lang="en-GB" sz="1100" b="1" baseline="0">
              <a:solidFill>
                <a:schemeClr val="dk1"/>
              </a:solidFill>
              <a:effectLst/>
              <a:latin typeface="+mn-lt"/>
              <a:ea typeface="+mn-ea"/>
              <a:cs typeface="+mn-cs"/>
            </a:rPr>
            <a:t> only - please read</a:t>
          </a:r>
          <a:endParaRPr lang="en-GB" sz="1400">
            <a:effectLst/>
          </a:endParaRPr>
        </a:p>
        <a:p>
          <a:pPr algn="ctr"/>
          <a:endParaRPr lang="en-GB" sz="1400" b="1"/>
        </a:p>
      </xdr:txBody>
    </xdr:sp>
    <xdr:clientData/>
  </xdr:twoCellAnchor>
  <xdr:twoCellAnchor editAs="oneCell">
    <xdr:from>
      <xdr:col>11</xdr:col>
      <xdr:colOff>219075</xdr:colOff>
      <xdr:row>1</xdr:row>
      <xdr:rowOff>95250</xdr:rowOff>
    </xdr:from>
    <xdr:to>
      <xdr:col>18</xdr:col>
      <xdr:colOff>447675</xdr:colOff>
      <xdr:row>8</xdr:row>
      <xdr:rowOff>9525</xdr:rowOff>
    </xdr:to>
    <xdr:pic>
      <xdr:nvPicPr>
        <xdr:cNvPr id="17898" name="Picture 5">
          <a:hlinkClick xmlns:r="http://schemas.openxmlformats.org/officeDocument/2006/relationships" r:id="rId4"/>
          <a:extLst>
            <a:ext uri="{FF2B5EF4-FFF2-40B4-BE49-F238E27FC236}">
              <a16:creationId xmlns:a16="http://schemas.microsoft.com/office/drawing/2014/main" id="{CD626D84-2228-2D56-3784-49B9D6BAD6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24675" y="257175"/>
          <a:ext cx="44958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550545</xdr:colOff>
      <xdr:row>23</xdr:row>
      <xdr:rowOff>66675</xdr:rowOff>
    </xdr:from>
    <xdr:to>
      <xdr:col>5</xdr:col>
      <xdr:colOff>340995</xdr:colOff>
      <xdr:row>25</xdr:row>
      <xdr:rowOff>76200</xdr:rowOff>
    </xdr:to>
    <xdr:sp macro="" textlink="">
      <xdr:nvSpPr>
        <xdr:cNvPr id="12" name="TextBox 11">
          <a:extLst>
            <a:ext uri="{FF2B5EF4-FFF2-40B4-BE49-F238E27FC236}">
              <a16:creationId xmlns:a16="http://schemas.microsoft.com/office/drawing/2014/main" id="{19EDC105-0A5C-4125-DD4C-FB4B52C28670}"/>
            </a:ext>
          </a:extLst>
        </xdr:cNvPr>
        <xdr:cNvSpPr txBox="1"/>
      </xdr:nvSpPr>
      <xdr:spPr>
        <a:xfrm>
          <a:off x="1162050" y="3790950"/>
          <a:ext cx="2228850" cy="3333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t>Useful links and information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7715250</xdr:colOff>
      <xdr:row>0</xdr:row>
      <xdr:rowOff>76200</xdr:rowOff>
    </xdr:from>
    <xdr:to>
      <xdr:col>4</xdr:col>
      <xdr:colOff>190500</xdr:colOff>
      <xdr:row>2</xdr:row>
      <xdr:rowOff>180975</xdr:rowOff>
    </xdr:to>
    <xdr:pic>
      <xdr:nvPicPr>
        <xdr:cNvPr id="16557" name="Picture 1">
          <a:extLst>
            <a:ext uri="{FF2B5EF4-FFF2-40B4-BE49-F238E27FC236}">
              <a16:creationId xmlns:a16="http://schemas.microsoft.com/office/drawing/2014/main" id="{DC0C28D5-273A-FB0E-D00B-FA1DCE7C3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76200"/>
          <a:ext cx="24955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7802880</xdr:colOff>
      <xdr:row>4</xdr:row>
      <xdr:rowOff>131445</xdr:rowOff>
    </xdr:from>
    <xdr:to>
      <xdr:col>4</xdr:col>
      <xdr:colOff>550377</xdr:colOff>
      <xdr:row>10</xdr:row>
      <xdr:rowOff>102870</xdr:rowOff>
    </xdr:to>
    <xdr:sp macro="" textlink="">
      <xdr:nvSpPr>
        <xdr:cNvPr id="3" name="TextBox 2">
          <a:hlinkClick xmlns:r="http://schemas.openxmlformats.org/officeDocument/2006/relationships" r:id="rId2"/>
          <a:extLst>
            <a:ext uri="{FF2B5EF4-FFF2-40B4-BE49-F238E27FC236}">
              <a16:creationId xmlns:a16="http://schemas.microsoft.com/office/drawing/2014/main" id="{D0588EDF-4D47-C896-208D-0513AEDCA300}"/>
            </a:ext>
          </a:extLst>
        </xdr:cNvPr>
        <xdr:cNvSpPr txBox="1"/>
      </xdr:nvSpPr>
      <xdr:spPr>
        <a:xfrm>
          <a:off x="7800975" y="971550"/>
          <a:ext cx="2771775" cy="98107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bg1"/>
            </a:solidFill>
          </a:endParaRPr>
        </a:p>
        <a:p>
          <a:endParaRPr lang="en-GB" sz="1100">
            <a:solidFill>
              <a:schemeClr val="bg1"/>
            </a:solidFill>
          </a:endParaRPr>
        </a:p>
        <a:p>
          <a:pPr algn="ctr"/>
          <a:r>
            <a:rPr lang="en-GB" sz="1600" b="1">
              <a:solidFill>
                <a:schemeClr val="bg1"/>
              </a:solidFill>
            </a:rPr>
            <a:t>BACK TO 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7</xdr:col>
      <xdr:colOff>331472</xdr:colOff>
      <xdr:row>4</xdr:row>
      <xdr:rowOff>169443</xdr:rowOff>
    </xdr:to>
    <xdr:sp macro="" textlink="">
      <xdr:nvSpPr>
        <xdr:cNvPr id="7" name="TextBox 6">
          <a:hlinkClick xmlns:r="http://schemas.openxmlformats.org/officeDocument/2006/relationships" r:id="rId1"/>
          <a:extLst>
            <a:ext uri="{FF2B5EF4-FFF2-40B4-BE49-F238E27FC236}">
              <a16:creationId xmlns:a16="http://schemas.microsoft.com/office/drawing/2014/main" id="{C20A1F5C-A812-CD4A-2989-DF633FC83A3A}"/>
            </a:ext>
          </a:extLst>
        </xdr:cNvPr>
        <xdr:cNvSpPr txBox="1"/>
      </xdr:nvSpPr>
      <xdr:spPr>
        <a:xfrm>
          <a:off x="8896350" y="476250"/>
          <a:ext cx="2771775" cy="981075"/>
        </a:xfrm>
        <a:prstGeom prst="rect">
          <a:avLst/>
        </a:prstGeom>
        <a:solidFill>
          <a:srgbClr val="4F81BD">
            <a:lumMod val="60000"/>
            <a:lumOff val="4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ysClr val="window" lastClr="FFFFFF"/>
              </a:solidFill>
              <a:effectLst/>
              <a:uLnTx/>
              <a:uFillTx/>
              <a:latin typeface="Calibri"/>
              <a:ea typeface="+mn-ea"/>
              <a:cs typeface="+mn-cs"/>
            </a:rPr>
            <a:t>BACK TO 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41094</xdr:colOff>
      <xdr:row>40</xdr:row>
      <xdr:rowOff>32387</xdr:rowOff>
    </xdr:from>
    <xdr:to>
      <xdr:col>2</xdr:col>
      <xdr:colOff>4328160</xdr:colOff>
      <xdr:row>47</xdr:row>
      <xdr:rowOff>68580</xdr:rowOff>
    </xdr:to>
    <xdr:sp macro="" textlink="">
      <xdr:nvSpPr>
        <xdr:cNvPr id="1025" name="Text Box 1">
          <a:extLst>
            <a:ext uri="{FF2B5EF4-FFF2-40B4-BE49-F238E27FC236}">
              <a16:creationId xmlns:a16="http://schemas.microsoft.com/office/drawing/2014/main" id="{CA1A11D1-C72D-E96F-C3AA-A269F4FBEBF4}"/>
            </a:ext>
          </a:extLst>
        </xdr:cNvPr>
        <xdr:cNvSpPr txBox="1">
          <a:spLocks noChangeArrowheads="1"/>
        </xdr:cNvSpPr>
      </xdr:nvSpPr>
      <xdr:spPr bwMode="auto">
        <a:xfrm>
          <a:off x="41094" y="8361047"/>
          <a:ext cx="7251246" cy="1423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GB" sz="1200" b="1" i="0" u="sng" strike="noStrike" baseline="0">
              <a:solidFill>
                <a:srgbClr val="000000"/>
              </a:solidFill>
              <a:latin typeface="Arial" panose="020B0604020202020204" pitchFamily="34" charset="0"/>
              <a:cs typeface="Arial" panose="020B0604020202020204" pitchFamily="34" charset="0"/>
            </a:rPr>
            <a:t>These are the maximum estimated figures</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0</xdr:col>
      <xdr:colOff>123825</xdr:colOff>
      <xdr:row>0</xdr:row>
      <xdr:rowOff>95250</xdr:rowOff>
    </xdr:from>
    <xdr:to>
      <xdr:col>2</xdr:col>
      <xdr:colOff>0</xdr:colOff>
      <xdr:row>3</xdr:row>
      <xdr:rowOff>38100</xdr:rowOff>
    </xdr:to>
    <xdr:pic>
      <xdr:nvPicPr>
        <xdr:cNvPr id="1383" name="Picture 1">
          <a:extLst>
            <a:ext uri="{FF2B5EF4-FFF2-40B4-BE49-F238E27FC236}">
              <a16:creationId xmlns:a16="http://schemas.microsoft.com/office/drawing/2014/main" id="{F9116BB2-BB13-E33E-EE2B-E4B3C20D22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5250"/>
          <a:ext cx="28384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2447925</xdr:colOff>
      <xdr:row>38</xdr:row>
      <xdr:rowOff>133350</xdr:rowOff>
    </xdr:from>
    <xdr:to>
      <xdr:col>2</xdr:col>
      <xdr:colOff>38100</xdr:colOff>
      <xdr:row>48</xdr:row>
      <xdr:rowOff>114300</xdr:rowOff>
    </xdr:to>
    <xdr:pic>
      <xdr:nvPicPr>
        <xdr:cNvPr id="10472" name="Picture 3">
          <a:extLst>
            <a:ext uri="{FF2B5EF4-FFF2-40B4-BE49-F238E27FC236}">
              <a16:creationId xmlns:a16="http://schemas.microsoft.com/office/drawing/2014/main" id="{0BE17608-ED65-F2EC-A704-2196E645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9010650"/>
          <a:ext cx="17049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1600200</xdr:colOff>
      <xdr:row>1</xdr:row>
      <xdr:rowOff>0</xdr:rowOff>
    </xdr:from>
    <xdr:to>
      <xdr:col>1</xdr:col>
      <xdr:colOff>3981450</xdr:colOff>
      <xdr:row>3</xdr:row>
      <xdr:rowOff>171450</xdr:rowOff>
    </xdr:to>
    <xdr:pic>
      <xdr:nvPicPr>
        <xdr:cNvPr id="10473" name="Picture 2">
          <a:extLst>
            <a:ext uri="{FF2B5EF4-FFF2-40B4-BE49-F238E27FC236}">
              <a16:creationId xmlns:a16="http://schemas.microsoft.com/office/drawing/2014/main" id="{C18FF756-8774-E51F-8EA5-3B667C6C78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2825" y="161925"/>
          <a:ext cx="2381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1598295</xdr:colOff>
      <xdr:row>4</xdr:row>
      <xdr:rowOff>49530</xdr:rowOff>
    </xdr:from>
    <xdr:to>
      <xdr:col>1</xdr:col>
      <xdr:colOff>3933779</xdr:colOff>
      <xdr:row>7</xdr:row>
      <xdr:rowOff>116352</xdr:rowOff>
    </xdr:to>
    <xdr:sp macro="" textlink="">
      <xdr:nvSpPr>
        <xdr:cNvPr id="5" name="TextBox 4">
          <a:extLst>
            <a:ext uri="{FF2B5EF4-FFF2-40B4-BE49-F238E27FC236}">
              <a16:creationId xmlns:a16="http://schemas.microsoft.com/office/drawing/2014/main" id="{38908667-5876-B956-CB97-34C8CCDDAFEB}"/>
            </a:ext>
          </a:extLst>
        </xdr:cNvPr>
        <xdr:cNvSpPr txBox="1"/>
      </xdr:nvSpPr>
      <xdr:spPr>
        <a:xfrm>
          <a:off x="3552825" y="1600200"/>
          <a:ext cx="23241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Houghton Street</a:t>
          </a:r>
        </a:p>
        <a:p>
          <a:r>
            <a:rPr lang="en-GB" sz="1100"/>
            <a:t>London</a:t>
          </a:r>
        </a:p>
        <a:p>
          <a:r>
            <a:rPr lang="en-GB" sz="1100"/>
            <a:t>WC2A 2AE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2400300</xdr:colOff>
      <xdr:row>39</xdr:row>
      <xdr:rowOff>47625</xdr:rowOff>
    </xdr:from>
    <xdr:to>
      <xdr:col>1</xdr:col>
      <xdr:colOff>4105275</xdr:colOff>
      <xdr:row>48</xdr:row>
      <xdr:rowOff>200025</xdr:rowOff>
    </xdr:to>
    <xdr:pic>
      <xdr:nvPicPr>
        <xdr:cNvPr id="11505" name="Picture 3">
          <a:extLst>
            <a:ext uri="{FF2B5EF4-FFF2-40B4-BE49-F238E27FC236}">
              <a16:creationId xmlns:a16="http://schemas.microsoft.com/office/drawing/2014/main" id="{45691676-1ED5-22CB-8C70-7F69EBA4D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7696200"/>
          <a:ext cx="170497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923925</xdr:colOff>
      <xdr:row>0</xdr:row>
      <xdr:rowOff>28575</xdr:rowOff>
    </xdr:from>
    <xdr:to>
      <xdr:col>1</xdr:col>
      <xdr:colOff>3314700</xdr:colOff>
      <xdr:row>2</xdr:row>
      <xdr:rowOff>171450</xdr:rowOff>
    </xdr:to>
    <xdr:pic>
      <xdr:nvPicPr>
        <xdr:cNvPr id="11506" name="Picture 2">
          <a:extLst>
            <a:ext uri="{FF2B5EF4-FFF2-40B4-BE49-F238E27FC236}">
              <a16:creationId xmlns:a16="http://schemas.microsoft.com/office/drawing/2014/main" id="{BD06F20E-3199-EBB1-1F4E-5671C34316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28575"/>
          <a:ext cx="2390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926888</xdr:colOff>
      <xdr:row>3</xdr:row>
      <xdr:rowOff>11641</xdr:rowOff>
    </xdr:from>
    <xdr:to>
      <xdr:col>1</xdr:col>
      <xdr:colOff>3260954</xdr:colOff>
      <xdr:row>6</xdr:row>
      <xdr:rowOff>30741</xdr:rowOff>
    </xdr:to>
    <xdr:sp macro="" textlink="">
      <xdr:nvSpPr>
        <xdr:cNvPr id="4" name="TextBox 3">
          <a:extLst>
            <a:ext uri="{FF2B5EF4-FFF2-40B4-BE49-F238E27FC236}">
              <a16:creationId xmlns:a16="http://schemas.microsoft.com/office/drawing/2014/main" id="{3E6FE7B0-57D3-1A3C-2865-B8F27E7F3877}"/>
            </a:ext>
          </a:extLst>
        </xdr:cNvPr>
        <xdr:cNvSpPr txBox="1"/>
      </xdr:nvSpPr>
      <xdr:spPr>
        <a:xfrm>
          <a:off x="2873375" y="624416"/>
          <a:ext cx="2339975" cy="61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Houghton Street</a:t>
          </a:r>
        </a:p>
        <a:p>
          <a:r>
            <a:rPr lang="en-GB" sz="1100"/>
            <a:t>London</a:t>
          </a:r>
        </a:p>
        <a:p>
          <a:r>
            <a:rPr lang="en-GB" sz="1100"/>
            <a:t>WC2A 2AE</a:t>
          </a:r>
        </a:p>
      </xdr:txBody>
    </xdr:sp>
    <xdr:clientData/>
  </xdr:twoCellAnchor>
</xdr:wsDr>
</file>

<file path=xl/tables/table1.xml><?xml version="1.0" encoding="utf-8"?>
<table xmlns="http://schemas.openxmlformats.org/spreadsheetml/2006/main" id="1" name="List1" displayName="List1" ref="G8:G10" totalsRowShown="0" headerRowDxfId="1" dataDxfId="0">
  <autoFilter ref="G8:G10"/>
  <tableColumns count="1">
    <tableColumn id="1" name="Depend" dataDxfId="2"/>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showGridLines="0" showRowColHeaders="0" tabSelected="1" workbookViewId="0">
      <selection activeCell="G30" sqref="G30"/>
    </sheetView>
  </sheetViews>
  <sheetFormatPr defaultRowHeight="12.75" x14ac:dyDescent="0.2"/>
  <cols>
    <col min="1" max="3" width="9.140625" style="271"/>
    <col min="4" max="4" width="9.140625" style="271" customWidth="1"/>
    <col min="5" max="16384" width="9.140625" style="271"/>
  </cols>
  <sheetData>
    <row r="4" spans="3:3" x14ac:dyDescent="0.2">
      <c r="C4" s="27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A32"/>
  <sheetViews>
    <sheetView showGridLines="0" showRowColHeaders="0" workbookViewId="0">
      <selection sqref="A1:A28"/>
    </sheetView>
  </sheetViews>
  <sheetFormatPr defaultRowHeight="12.75" x14ac:dyDescent="0.2"/>
  <cols>
    <col min="1" max="1" width="122.85546875" style="118" bestFit="1" customWidth="1"/>
    <col min="2" max="16384" width="9.140625" style="118"/>
  </cols>
  <sheetData>
    <row r="1" spans="1:1" s="117" customFormat="1" ht="18.75" x14ac:dyDescent="0.3">
      <c r="A1" s="452" t="s">
        <v>134</v>
      </c>
    </row>
    <row r="2" spans="1:1" s="117" customFormat="1" ht="18.75" x14ac:dyDescent="0.3">
      <c r="A2" s="452"/>
    </row>
    <row r="3" spans="1:1" ht="15.75" x14ac:dyDescent="0.25">
      <c r="A3" s="453" t="s">
        <v>126</v>
      </c>
    </row>
    <row r="4" spans="1:1" x14ac:dyDescent="0.2">
      <c r="A4" s="454" t="s">
        <v>116</v>
      </c>
    </row>
    <row r="5" spans="1:1" x14ac:dyDescent="0.2">
      <c r="A5" s="454" t="s">
        <v>117</v>
      </c>
    </row>
    <row r="6" spans="1:1" x14ac:dyDescent="0.2">
      <c r="A6" s="454" t="s">
        <v>120</v>
      </c>
    </row>
    <row r="7" spans="1:1" x14ac:dyDescent="0.2">
      <c r="A7" s="146"/>
    </row>
    <row r="8" spans="1:1" ht="15.75" x14ac:dyDescent="0.25">
      <c r="A8" s="455" t="s">
        <v>119</v>
      </c>
    </row>
    <row r="9" spans="1:1" x14ac:dyDescent="0.2">
      <c r="A9" s="454" t="s">
        <v>118</v>
      </c>
    </row>
    <row r="10" spans="1:1" x14ac:dyDescent="0.2">
      <c r="A10" s="454" t="s">
        <v>238</v>
      </c>
    </row>
    <row r="11" spans="1:1" x14ac:dyDescent="0.2">
      <c r="A11" s="454" t="s">
        <v>355</v>
      </c>
    </row>
    <row r="12" spans="1:1" x14ac:dyDescent="0.2">
      <c r="A12" s="454"/>
    </row>
    <row r="13" spans="1:1" s="119" customFormat="1" ht="15.75" x14ac:dyDescent="0.25">
      <c r="A13" s="453" t="s">
        <v>295</v>
      </c>
    </row>
    <row r="14" spans="1:1" s="119" customFormat="1" ht="15.75" x14ac:dyDescent="0.25">
      <c r="A14" s="456" t="s">
        <v>294</v>
      </c>
    </row>
    <row r="15" spans="1:1" x14ac:dyDescent="0.2">
      <c r="A15" s="457" t="s">
        <v>151</v>
      </c>
    </row>
    <row r="16" spans="1:1" x14ac:dyDescent="0.2">
      <c r="A16" s="454" t="s">
        <v>350</v>
      </c>
    </row>
    <row r="17" spans="1:1" x14ac:dyDescent="0.2">
      <c r="A17" s="454" t="s">
        <v>351</v>
      </c>
    </row>
    <row r="18" spans="1:1" x14ac:dyDescent="0.2">
      <c r="A18" s="454" t="s">
        <v>352</v>
      </c>
    </row>
    <row r="19" spans="1:1" x14ac:dyDescent="0.2">
      <c r="A19" s="454" t="s">
        <v>353</v>
      </c>
    </row>
    <row r="20" spans="1:1" x14ac:dyDescent="0.2">
      <c r="A20" s="454" t="s">
        <v>121</v>
      </c>
    </row>
    <row r="21" spans="1:1" x14ac:dyDescent="0.2">
      <c r="A21" s="454" t="s">
        <v>122</v>
      </c>
    </row>
    <row r="22" spans="1:1" x14ac:dyDescent="0.2">
      <c r="A22" s="454" t="s">
        <v>354</v>
      </c>
    </row>
    <row r="23" spans="1:1" x14ac:dyDescent="0.2">
      <c r="A23" s="146"/>
    </row>
    <row r="24" spans="1:1" s="119" customFormat="1" ht="15.75" x14ac:dyDescent="0.25">
      <c r="A24" s="453" t="s">
        <v>237</v>
      </c>
    </row>
    <row r="25" spans="1:1" x14ac:dyDescent="0.2">
      <c r="A25" s="454" t="s">
        <v>239</v>
      </c>
    </row>
    <row r="26" spans="1:1" x14ac:dyDescent="0.2">
      <c r="A26" s="454" t="s">
        <v>280</v>
      </c>
    </row>
    <row r="27" spans="1:1" x14ac:dyDescent="0.2">
      <c r="A27" s="134"/>
    </row>
    <row r="28" spans="1:1" x14ac:dyDescent="0.2">
      <c r="A28" s="458" t="s">
        <v>356</v>
      </c>
    </row>
    <row r="29" spans="1:1" s="119" customFormat="1" ht="15.75" x14ac:dyDescent="0.25">
      <c r="A29" s="121"/>
    </row>
    <row r="30" spans="1:1" s="120" customFormat="1" x14ac:dyDescent="0.2">
      <c r="A30" s="122"/>
    </row>
    <row r="31" spans="1:1" ht="15.75" x14ac:dyDescent="0.25">
      <c r="A31" s="123"/>
    </row>
    <row r="32" spans="1:1" s="120" customFormat="1" x14ac:dyDescent="0.2"/>
  </sheetData>
  <sheetProtection algorithmName="SHA-512" hashValue="Ia5SUPI73bxnR6yXcXZ7JUfdKJri9ZY+yk2GfpIUQd5iZMzgQxHSr7/ZSJuu9TCNl6gFNz0k2DgdmPTleOuI8Q==" saltValue="h6fomK0Zn+vbRq2ycJx7nA==" spinCount="100000" sheet="1" selectLockedCells="1" selectUnlockedCells="1"/>
  <phoneticPr fontId="3"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B31"/>
  <sheetViews>
    <sheetView showGridLines="0" showRowColHeaders="0" workbookViewId="0">
      <selection sqref="A1:B31"/>
    </sheetView>
  </sheetViews>
  <sheetFormatPr defaultRowHeight="12.75" x14ac:dyDescent="0.2"/>
  <cols>
    <col min="1" max="1" width="24.140625" style="91" customWidth="1"/>
    <col min="2" max="2" width="100.140625" style="89" customWidth="1"/>
    <col min="3" max="16384" width="9.140625" style="90"/>
  </cols>
  <sheetData>
    <row r="1" spans="1:2" s="88" customFormat="1" ht="18.75" x14ac:dyDescent="0.3">
      <c r="A1" s="442" t="s">
        <v>142</v>
      </c>
      <c r="B1" s="443"/>
    </row>
    <row r="2" spans="1:2" ht="18.75" x14ac:dyDescent="0.2">
      <c r="A2" s="444"/>
      <c r="B2" s="445"/>
    </row>
    <row r="3" spans="1:2" ht="48" x14ac:dyDescent="0.2">
      <c r="A3" s="446" t="s">
        <v>135</v>
      </c>
      <c r="B3" s="447" t="s">
        <v>319</v>
      </c>
    </row>
    <row r="4" spans="1:2" x14ac:dyDescent="0.2">
      <c r="A4" s="446"/>
      <c r="B4" s="447"/>
    </row>
    <row r="5" spans="1:2" ht="36" x14ac:dyDescent="0.2">
      <c r="A5" s="399" t="s">
        <v>0</v>
      </c>
      <c r="B5" s="447" t="s">
        <v>277</v>
      </c>
    </row>
    <row r="6" spans="1:2" x14ac:dyDescent="0.2">
      <c r="A6" s="446"/>
      <c r="B6" s="447"/>
    </row>
    <row r="7" spans="1:2" x14ac:dyDescent="0.2">
      <c r="A7" s="446"/>
      <c r="B7" s="447"/>
    </row>
    <row r="8" spans="1:2" x14ac:dyDescent="0.2">
      <c r="A8" s="399" t="s">
        <v>4</v>
      </c>
      <c r="B8" s="447" t="s">
        <v>136</v>
      </c>
    </row>
    <row r="9" spans="1:2" x14ac:dyDescent="0.2">
      <c r="A9" s="446"/>
      <c r="B9" s="447"/>
    </row>
    <row r="10" spans="1:2" x14ac:dyDescent="0.2">
      <c r="A10" s="399" t="s">
        <v>31</v>
      </c>
      <c r="B10" s="447" t="s">
        <v>278</v>
      </c>
    </row>
    <row r="11" spans="1:2" x14ac:dyDescent="0.2">
      <c r="A11" s="446"/>
      <c r="B11" s="447"/>
    </row>
    <row r="12" spans="1:2" x14ac:dyDescent="0.2">
      <c r="A12" s="446"/>
      <c r="B12" s="447"/>
    </row>
    <row r="13" spans="1:2" x14ac:dyDescent="0.2">
      <c r="A13" s="446" t="s">
        <v>137</v>
      </c>
      <c r="B13" s="447" t="s">
        <v>156</v>
      </c>
    </row>
    <row r="14" spans="1:2" x14ac:dyDescent="0.2">
      <c r="A14" s="446"/>
      <c r="B14" s="447"/>
    </row>
    <row r="15" spans="1:2" x14ac:dyDescent="0.2">
      <c r="A15" s="446" t="s">
        <v>138</v>
      </c>
      <c r="B15" s="447" t="s">
        <v>349</v>
      </c>
    </row>
    <row r="16" spans="1:2" x14ac:dyDescent="0.2">
      <c r="A16" s="446"/>
      <c r="B16" s="447"/>
    </row>
    <row r="17" spans="1:2" x14ac:dyDescent="0.2">
      <c r="A17" s="446" t="s">
        <v>139</v>
      </c>
      <c r="B17" s="447" t="s">
        <v>285</v>
      </c>
    </row>
    <row r="18" spans="1:2" x14ac:dyDescent="0.2">
      <c r="A18" s="446"/>
      <c r="B18" s="447"/>
    </row>
    <row r="19" spans="1:2" ht="48" x14ac:dyDescent="0.2">
      <c r="A19" s="446" t="s">
        <v>141</v>
      </c>
      <c r="B19" s="447" t="s">
        <v>157</v>
      </c>
    </row>
    <row r="20" spans="1:2" x14ac:dyDescent="0.2">
      <c r="A20" s="446"/>
      <c r="B20" s="447"/>
    </row>
    <row r="21" spans="1:2" x14ac:dyDescent="0.2">
      <c r="A21" s="446" t="s">
        <v>175</v>
      </c>
      <c r="B21" s="447" t="s">
        <v>176</v>
      </c>
    </row>
    <row r="22" spans="1:2" x14ac:dyDescent="0.2">
      <c r="A22" s="446"/>
      <c r="B22" s="447"/>
    </row>
    <row r="23" spans="1:2" x14ac:dyDescent="0.2">
      <c r="A23" s="446"/>
      <c r="B23" s="447"/>
    </row>
    <row r="24" spans="1:2" x14ac:dyDescent="0.2">
      <c r="A24" s="446"/>
      <c r="B24" s="447"/>
    </row>
    <row r="25" spans="1:2" x14ac:dyDescent="0.2">
      <c r="A25" s="446" t="s">
        <v>143</v>
      </c>
      <c r="B25" s="447" t="s">
        <v>144</v>
      </c>
    </row>
    <row r="26" spans="1:2" x14ac:dyDescent="0.2">
      <c r="A26" s="446"/>
      <c r="B26" s="447" t="s">
        <v>283</v>
      </c>
    </row>
    <row r="27" spans="1:2" x14ac:dyDescent="0.2">
      <c r="A27" s="446"/>
      <c r="B27" s="447" t="s">
        <v>320</v>
      </c>
    </row>
    <row r="28" spans="1:2" x14ac:dyDescent="0.2">
      <c r="A28" s="446"/>
      <c r="B28" s="447"/>
    </row>
    <row r="29" spans="1:2" x14ac:dyDescent="0.2">
      <c r="A29" s="446" t="s">
        <v>145</v>
      </c>
      <c r="B29" s="448" t="s">
        <v>357</v>
      </c>
    </row>
    <row r="30" spans="1:2" x14ac:dyDescent="0.2">
      <c r="A30" s="449"/>
      <c r="B30" s="450"/>
    </row>
    <row r="31" spans="1:2" x14ac:dyDescent="0.2">
      <c r="A31" s="451"/>
      <c r="B31" s="445"/>
    </row>
  </sheetData>
  <sheetProtection algorithmName="SHA-512" hashValue="ZCZZVtc+YwMMFya0s2jvjp+c3EKYA4eEdSPkLjDPpUfARBM9Z45gqdjMfzDjE+Pvvq0mMhgyF+OwSSgrBW4p/Q==" saltValue="QjRgKsq0hRqb9TII8W/0iA==" spinCount="100000" sheet="1" selectLockedCells="1"/>
  <phoneticPr fontId="3"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BF126"/>
  <sheetViews>
    <sheetView showGridLines="0" showRowColHeaders="0" zoomScaleNormal="100" workbookViewId="0">
      <selection activeCell="T87" sqref="T87"/>
    </sheetView>
  </sheetViews>
  <sheetFormatPr defaultRowHeight="12.75" x14ac:dyDescent="0.2"/>
  <cols>
    <col min="1" max="1" width="29.7109375" style="82" bestFit="1" customWidth="1"/>
    <col min="2" max="2" width="14.7109375" style="82" customWidth="1"/>
    <col min="3" max="3" width="96.42578125" style="84" customWidth="1"/>
    <col min="4" max="4" width="34.5703125" style="83" bestFit="1" customWidth="1"/>
    <col min="5" max="5" width="21.42578125" style="83" customWidth="1"/>
    <col min="6" max="6" width="8.42578125" style="142" customWidth="1"/>
    <col min="7" max="7" width="45.28515625" style="143" hidden="1" customWidth="1"/>
    <col min="8" max="8" width="62.28515625" style="143" hidden="1" customWidth="1"/>
    <col min="9" max="9" width="18.5703125" style="143" hidden="1" customWidth="1"/>
    <col min="10" max="10" width="20.85546875" style="143" hidden="1" customWidth="1"/>
    <col min="11" max="11" width="41.42578125" style="143" hidden="1" customWidth="1"/>
    <col min="12" max="12" width="20.5703125" style="143" hidden="1" customWidth="1"/>
    <col min="13" max="13" width="20.140625" style="143" hidden="1" customWidth="1"/>
    <col min="14" max="14" width="16.140625" style="143" hidden="1" customWidth="1"/>
    <col min="15" max="15" width="10.85546875" style="143" hidden="1" customWidth="1"/>
    <col min="16" max="16" width="7.5703125" style="143" hidden="1" customWidth="1"/>
    <col min="17" max="17" width="7.7109375" style="144" customWidth="1"/>
    <col min="18" max="18" width="5.42578125" style="145" customWidth="1"/>
    <col min="19" max="19" width="7.5703125" style="145" customWidth="1"/>
    <col min="20" max="24" width="9.140625" style="145"/>
    <col min="25" max="58" width="9.140625" style="146"/>
    <col min="59" max="16384" width="9.140625" style="84"/>
  </cols>
  <sheetData>
    <row r="1" spans="1:58" s="130" customFormat="1" ht="21" x14ac:dyDescent="0.35">
      <c r="A1" s="61"/>
      <c r="B1" s="61"/>
      <c r="C1" s="62"/>
      <c r="D1" s="63"/>
      <c r="E1" s="64"/>
      <c r="F1" s="125"/>
      <c r="G1" s="126"/>
      <c r="H1" s="126"/>
      <c r="I1" s="126"/>
      <c r="J1" s="126"/>
      <c r="K1" s="126"/>
      <c r="L1" s="127"/>
      <c r="M1" s="127"/>
      <c r="N1" s="127"/>
      <c r="O1" s="127"/>
      <c r="P1" s="127"/>
      <c r="Q1" s="128"/>
      <c r="R1" s="129"/>
      <c r="S1" s="129"/>
      <c r="T1" s="129"/>
      <c r="U1" s="129"/>
      <c r="V1" s="129"/>
      <c r="W1" s="129"/>
      <c r="X1" s="129"/>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row>
    <row r="2" spans="1:58" s="130" customFormat="1" ht="18" customHeight="1" x14ac:dyDescent="0.35">
      <c r="A2" s="61"/>
      <c r="B2" s="61"/>
      <c r="C2" s="65" t="s">
        <v>24</v>
      </c>
      <c r="D2" s="63"/>
      <c r="E2" s="64"/>
      <c r="F2" s="125"/>
      <c r="G2" s="127"/>
      <c r="H2" s="126"/>
      <c r="I2" s="126"/>
      <c r="J2" s="127"/>
      <c r="K2" s="127"/>
      <c r="L2" s="127"/>
      <c r="M2" s="127"/>
      <c r="N2" s="127"/>
      <c r="O2" s="127"/>
      <c r="P2" s="127"/>
      <c r="Q2" s="128"/>
      <c r="R2" s="129"/>
      <c r="S2" s="129"/>
      <c r="T2" s="129"/>
      <c r="U2" s="129"/>
      <c r="V2" s="129"/>
      <c r="W2" s="129"/>
      <c r="X2" s="129"/>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row>
    <row r="3" spans="1:58" s="136" customFormat="1" ht="18" customHeight="1" x14ac:dyDescent="0.35">
      <c r="A3" s="66"/>
      <c r="B3" s="66"/>
      <c r="C3" s="65" t="s">
        <v>25</v>
      </c>
      <c r="D3" s="67"/>
      <c r="E3" s="68"/>
      <c r="F3" s="131"/>
      <c r="G3" s="132"/>
      <c r="H3" s="133"/>
      <c r="I3" s="133"/>
      <c r="J3" s="132"/>
      <c r="K3" s="132"/>
      <c r="L3" s="132"/>
      <c r="M3" s="132"/>
      <c r="N3" s="132"/>
      <c r="O3" s="132"/>
      <c r="P3" s="132"/>
      <c r="Q3" s="134"/>
      <c r="R3" s="135"/>
      <c r="S3" s="135"/>
      <c r="T3" s="135"/>
      <c r="U3" s="135"/>
      <c r="V3" s="135"/>
      <c r="W3" s="135"/>
      <c r="X3" s="135"/>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row>
    <row r="4" spans="1:58" s="136" customFormat="1" ht="18" customHeight="1" x14ac:dyDescent="0.35">
      <c r="A4" s="66"/>
      <c r="B4" s="66"/>
      <c r="C4" s="65" t="str">
        <f>"for Academic Year "&amp; 'School DATA'!D6</f>
        <v>for Academic Year 2024/25</v>
      </c>
      <c r="D4" s="69"/>
      <c r="E4" s="69"/>
      <c r="F4" s="131"/>
      <c r="G4" s="132"/>
      <c r="H4" s="133"/>
      <c r="I4" s="133"/>
      <c r="J4" s="132"/>
      <c r="K4" s="132"/>
      <c r="L4" s="132"/>
      <c r="M4" s="132"/>
      <c r="N4" s="132"/>
      <c r="O4" s="132"/>
      <c r="P4" s="132"/>
      <c r="Q4" s="134"/>
      <c r="R4" s="135"/>
      <c r="S4" s="135"/>
      <c r="T4" s="135"/>
      <c r="U4" s="135"/>
      <c r="V4" s="135"/>
      <c r="W4" s="135"/>
      <c r="X4" s="135"/>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row>
    <row r="5" spans="1:58" s="136" customFormat="1" x14ac:dyDescent="0.2">
      <c r="A5" s="66"/>
      <c r="B5" s="66"/>
      <c r="C5" s="70" t="s">
        <v>181</v>
      </c>
      <c r="D5" s="69"/>
      <c r="E5" s="69"/>
      <c r="F5" s="137"/>
      <c r="G5" s="132"/>
      <c r="H5" s="138">
        <f>'School DATA'!H48</f>
        <v>116391</v>
      </c>
      <c r="I5" s="139" t="s">
        <v>23</v>
      </c>
      <c r="J5" s="133"/>
      <c r="K5" s="133"/>
      <c r="L5" s="132"/>
      <c r="M5" s="132"/>
      <c r="N5" s="132"/>
      <c r="O5" s="132"/>
      <c r="P5" s="132"/>
      <c r="Q5" s="134"/>
      <c r="R5" s="135"/>
      <c r="S5" s="135"/>
      <c r="T5" s="135"/>
      <c r="U5" s="135"/>
      <c r="V5" s="135"/>
      <c r="W5" s="135"/>
      <c r="X5" s="135"/>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s="136" customFormat="1" x14ac:dyDescent="0.2">
      <c r="A6" s="66"/>
      <c r="B6" s="66"/>
      <c r="C6" s="71" t="s">
        <v>259</v>
      </c>
      <c r="D6" s="69"/>
      <c r="E6" s="72">
        <f>'School DATA'!D8</f>
        <v>45406</v>
      </c>
      <c r="F6" s="137"/>
      <c r="G6" s="132"/>
      <c r="H6" s="138">
        <f>'School DATA'!H50</f>
        <v>121312.01148</v>
      </c>
      <c r="I6" s="139" t="s">
        <v>128</v>
      </c>
      <c r="J6" s="133"/>
      <c r="K6" s="133"/>
      <c r="L6" s="132"/>
      <c r="M6" s="132"/>
      <c r="N6" s="132"/>
      <c r="O6" s="132"/>
      <c r="P6" s="132"/>
      <c r="Q6" s="134"/>
      <c r="R6" s="135"/>
      <c r="S6" s="135"/>
      <c r="T6" s="135"/>
      <c r="U6" s="135"/>
      <c r="V6" s="135"/>
      <c r="W6" s="135"/>
      <c r="X6" s="135"/>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row>
    <row r="7" spans="1:58" s="136" customFormat="1" x14ac:dyDescent="0.2">
      <c r="A7" s="66"/>
      <c r="B7" s="66"/>
      <c r="C7" s="70" t="s">
        <v>305</v>
      </c>
      <c r="D7" s="69">
        <f>'School DATA'!H44</f>
        <v>1.4021999999999999</v>
      </c>
      <c r="E7" s="73">
        <f>'School DATA'!I29</f>
        <v>45406</v>
      </c>
      <c r="F7" s="131"/>
      <c r="G7" s="132"/>
      <c r="H7" s="139"/>
      <c r="I7" s="133"/>
      <c r="J7" s="132"/>
      <c r="K7" s="132"/>
      <c r="L7" s="132"/>
      <c r="M7" s="132"/>
      <c r="N7" s="132"/>
      <c r="O7" s="132"/>
      <c r="P7" s="132"/>
      <c r="Q7" s="134"/>
      <c r="R7" s="135"/>
      <c r="S7" s="135"/>
      <c r="T7" s="135"/>
      <c r="U7" s="135"/>
      <c r="V7" s="135"/>
      <c r="W7" s="135"/>
      <c r="X7" s="135"/>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row>
    <row r="8" spans="1:58" s="136" customFormat="1" x14ac:dyDescent="0.2">
      <c r="A8" s="66"/>
      <c r="B8" s="66"/>
      <c r="C8" s="74" t="s">
        <v>155</v>
      </c>
      <c r="D8" s="75"/>
      <c r="E8" s="76">
        <f>'School DATA'!I30</f>
        <v>45627</v>
      </c>
      <c r="F8" s="131"/>
      <c r="G8" s="132" t="s">
        <v>67</v>
      </c>
      <c r="H8" s="140" t="s">
        <v>20</v>
      </c>
      <c r="I8" s="140" t="s">
        <v>21</v>
      </c>
      <c r="J8" s="132"/>
      <c r="K8" s="132"/>
      <c r="L8" s="132"/>
      <c r="M8" s="132"/>
      <c r="N8" s="132"/>
      <c r="O8" s="132"/>
      <c r="P8" s="132"/>
      <c r="Q8" s="134"/>
      <c r="R8" s="135"/>
      <c r="S8" s="135"/>
      <c r="T8" s="135"/>
      <c r="U8" s="135"/>
      <c r="V8" s="135"/>
      <c r="W8" s="135"/>
      <c r="X8" s="135"/>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row>
    <row r="9" spans="1:58" s="136" customFormat="1" x14ac:dyDescent="0.2">
      <c r="A9" s="66"/>
      <c r="B9" s="66"/>
      <c r="C9" s="74" t="s">
        <v>39</v>
      </c>
      <c r="D9" s="77">
        <f>'School DATA'!E11</f>
        <v>43</v>
      </c>
      <c r="E9" s="68"/>
      <c r="F9" s="131"/>
      <c r="G9" s="132" t="s">
        <v>65</v>
      </c>
      <c r="H9" s="141" t="s">
        <v>6</v>
      </c>
      <c r="I9" s="141">
        <v>1</v>
      </c>
      <c r="J9" s="132"/>
      <c r="K9" s="132"/>
      <c r="L9" s="132"/>
      <c r="M9" s="132"/>
      <c r="N9" s="132"/>
      <c r="O9" s="132"/>
      <c r="P9" s="132"/>
      <c r="Q9" s="134"/>
      <c r="R9" s="135"/>
      <c r="S9" s="135"/>
      <c r="T9" s="135"/>
      <c r="U9" s="135"/>
      <c r="V9" s="135"/>
      <c r="W9" s="135"/>
      <c r="X9" s="135"/>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row>
    <row r="10" spans="1:58" x14ac:dyDescent="0.2">
      <c r="A10" s="78"/>
      <c r="B10" s="78"/>
      <c r="C10" s="74" t="s">
        <v>40</v>
      </c>
      <c r="D10" s="77">
        <f>'School DATA'!E13</f>
        <v>52</v>
      </c>
      <c r="E10" s="68"/>
      <c r="G10" s="143" t="s">
        <v>66</v>
      </c>
      <c r="H10" s="141" t="s">
        <v>5</v>
      </c>
      <c r="I10" s="141">
        <v>2</v>
      </c>
    </row>
    <row r="11" spans="1:58" ht="13.5" thickBot="1" x14ac:dyDescent="0.25">
      <c r="A11" s="78"/>
      <c r="B11" s="78"/>
      <c r="C11" s="79"/>
      <c r="D11" s="80"/>
      <c r="E11" s="81"/>
      <c r="G11" s="147"/>
      <c r="H11" s="141"/>
      <c r="I11" s="141" t="s">
        <v>298</v>
      </c>
      <c r="M11" s="132" t="s">
        <v>132</v>
      </c>
      <c r="N11" s="132"/>
    </row>
    <row r="12" spans="1:58" ht="18.75" thickBot="1" x14ac:dyDescent="0.3">
      <c r="A12" s="297" t="s">
        <v>335</v>
      </c>
      <c r="B12" s="298"/>
      <c r="C12" s="419" t="s">
        <v>325</v>
      </c>
      <c r="D12" s="419"/>
      <c r="E12" s="299"/>
      <c r="F12" s="148"/>
      <c r="G12" s="143" t="s">
        <v>265</v>
      </c>
      <c r="H12" s="149" t="s">
        <v>47</v>
      </c>
      <c r="I12" s="149" t="s">
        <v>90</v>
      </c>
      <c r="L12" s="149" t="s">
        <v>173</v>
      </c>
      <c r="M12" s="149" t="s">
        <v>95</v>
      </c>
      <c r="N12" s="132" t="s">
        <v>133</v>
      </c>
    </row>
    <row r="13" spans="1:58" x14ac:dyDescent="0.2">
      <c r="A13" s="300"/>
      <c r="B13" s="301"/>
      <c r="C13" s="302"/>
      <c r="D13" s="303"/>
      <c r="E13" s="304"/>
      <c r="F13" s="148"/>
      <c r="G13" s="143" t="s">
        <v>266</v>
      </c>
      <c r="H13" s="141" t="s">
        <v>91</v>
      </c>
      <c r="I13" s="141" t="s">
        <v>92</v>
      </c>
      <c r="J13" s="150">
        <f>'School DATA'!D7</f>
        <v>45565</v>
      </c>
      <c r="L13" s="151">
        <f>COUNT(M13:M19)</f>
        <v>3</v>
      </c>
      <c r="M13" s="152">
        <f>IF(('School DATA'!D18&gt;10/10/2010),'School DATA'!D18,"")</f>
        <v>45565</v>
      </c>
      <c r="N13" s="153">
        <f>IF((ISNUMBER(M13)),(E91/L13),"")</f>
        <v>0</v>
      </c>
    </row>
    <row r="14" spans="1:58" ht="18" x14ac:dyDescent="0.25">
      <c r="A14" s="305" t="s">
        <v>76</v>
      </c>
      <c r="B14" s="306"/>
      <c r="C14" s="415"/>
      <c r="D14" s="415"/>
      <c r="E14" s="416"/>
      <c r="F14" s="154"/>
      <c r="H14" s="141"/>
      <c r="I14" s="141" t="s">
        <v>93</v>
      </c>
      <c r="J14" s="150">
        <f>'School DATA'!D11</f>
        <v>45868</v>
      </c>
      <c r="L14" s="141" t="s">
        <v>129</v>
      </c>
      <c r="M14" s="152">
        <f>IF(('School DATA'!D19&gt;10/10/2010),'School DATA'!D19,"")</f>
        <v>45677</v>
      </c>
      <c r="N14" s="153">
        <f>IF((ISNUMBER(M14)),(E91/L13),"")</f>
        <v>0</v>
      </c>
    </row>
    <row r="15" spans="1:58" ht="18" x14ac:dyDescent="0.25">
      <c r="A15" s="308" t="s">
        <v>296</v>
      </c>
      <c r="B15" s="308"/>
      <c r="C15" s="415"/>
      <c r="D15" s="415"/>
      <c r="E15" s="416"/>
      <c r="F15" s="154"/>
      <c r="H15" s="141" t="s">
        <v>94</v>
      </c>
      <c r="I15" s="141" t="s">
        <v>92</v>
      </c>
      <c r="J15" s="150">
        <f>'School DATA'!D7</f>
        <v>45565</v>
      </c>
      <c r="L15" s="141" t="s">
        <v>130</v>
      </c>
      <c r="M15" s="152">
        <f>IF(('School DATA'!D20&gt;10/10/2010),'School DATA'!D20,"")</f>
        <v>45783</v>
      </c>
      <c r="N15" s="153">
        <f>IF((ISNUMBER(M15)),(E91/L13),"")</f>
        <v>0</v>
      </c>
    </row>
    <row r="16" spans="1:58" ht="18" x14ac:dyDescent="0.25">
      <c r="A16" s="305" t="s">
        <v>68</v>
      </c>
      <c r="B16" s="306"/>
      <c r="C16" s="417"/>
      <c r="D16" s="417"/>
      <c r="E16" s="418"/>
      <c r="F16" s="154"/>
      <c r="H16" s="141"/>
      <c r="I16" s="141" t="s">
        <v>93</v>
      </c>
      <c r="J16" s="150">
        <f>'School DATA'!E7</f>
        <v>45928</v>
      </c>
      <c r="L16" s="141" t="s">
        <v>131</v>
      </c>
      <c r="M16" s="152" t="str">
        <f>IF(('School DATA'!D21&gt;10/10/2010),'School DATA'!D21,"")</f>
        <v/>
      </c>
      <c r="N16" s="153" t="str">
        <f>IF((ISNUMBER(M16)),(E91/L13),"")</f>
        <v/>
      </c>
      <c r="O16" s="153"/>
    </row>
    <row r="17" spans="1:58" ht="18" x14ac:dyDescent="0.25">
      <c r="A17" s="305" t="s">
        <v>69</v>
      </c>
      <c r="B17" s="306"/>
      <c r="C17" s="417"/>
      <c r="D17" s="417"/>
      <c r="E17" s="418"/>
      <c r="F17" s="154"/>
    </row>
    <row r="18" spans="1:58" ht="18" x14ac:dyDescent="0.25">
      <c r="A18" s="305" t="s">
        <v>70</v>
      </c>
      <c r="B18" s="306"/>
      <c r="C18" s="417"/>
      <c r="D18" s="417"/>
      <c r="E18" s="418"/>
      <c r="F18" s="154"/>
    </row>
    <row r="19" spans="1:58" ht="18" x14ac:dyDescent="0.25">
      <c r="A19" s="305" t="s">
        <v>71</v>
      </c>
      <c r="B19" s="306"/>
      <c r="C19" s="417"/>
      <c r="D19" s="417"/>
      <c r="E19" s="418"/>
      <c r="F19" s="154"/>
    </row>
    <row r="20" spans="1:58" ht="18" x14ac:dyDescent="0.25">
      <c r="A20" s="309" t="s">
        <v>72</v>
      </c>
      <c r="B20" s="309"/>
      <c r="C20" s="417"/>
      <c r="D20" s="417"/>
      <c r="E20" s="418"/>
      <c r="F20" s="154"/>
      <c r="K20" s="149"/>
    </row>
    <row r="21" spans="1:58" ht="18" x14ac:dyDescent="0.25">
      <c r="A21" s="309" t="s">
        <v>73</v>
      </c>
      <c r="B21" s="309"/>
      <c r="C21" s="426"/>
      <c r="D21" s="426"/>
      <c r="E21" s="427"/>
      <c r="F21" s="154"/>
      <c r="H21" s="132" t="s">
        <v>304</v>
      </c>
      <c r="K21" s="132" t="s">
        <v>159</v>
      </c>
    </row>
    <row r="22" spans="1:58" ht="18" x14ac:dyDescent="0.25">
      <c r="A22" s="309" t="s">
        <v>74</v>
      </c>
      <c r="B22" s="309"/>
      <c r="C22" s="428"/>
      <c r="D22" s="429"/>
      <c r="E22" s="430"/>
      <c r="F22" s="154"/>
      <c r="G22" s="155" t="s">
        <v>8</v>
      </c>
      <c r="H22" s="156" t="s">
        <v>42</v>
      </c>
      <c r="I22" s="156" t="s">
        <v>43</v>
      </c>
      <c r="J22" s="157"/>
      <c r="K22" s="157" t="s">
        <v>8</v>
      </c>
      <c r="L22" s="156" t="s">
        <v>42</v>
      </c>
      <c r="M22" s="156" t="s">
        <v>43</v>
      </c>
      <c r="N22" s="156"/>
      <c r="O22" s="157"/>
      <c r="P22" s="157"/>
      <c r="Q22" s="158"/>
    </row>
    <row r="23" spans="1:58" ht="18" x14ac:dyDescent="0.25">
      <c r="A23" s="308" t="s">
        <v>75</v>
      </c>
      <c r="B23" s="308"/>
      <c r="C23" s="417"/>
      <c r="D23" s="417"/>
      <c r="E23" s="418"/>
      <c r="F23" s="154"/>
      <c r="G23" s="159">
        <f>IF(D27="Y",0,K23)</f>
        <v>0</v>
      </c>
      <c r="H23" s="157"/>
      <c r="I23" s="160">
        <f>IF((D27="N"),M23,0)</f>
        <v>20500</v>
      </c>
      <c r="J23" s="143" t="s">
        <v>9</v>
      </c>
      <c r="K23" s="143">
        <v>0</v>
      </c>
      <c r="L23" s="157">
        <v>0</v>
      </c>
      <c r="M23" s="143">
        <v>20500</v>
      </c>
      <c r="O23" s="157"/>
      <c r="P23" s="157"/>
      <c r="Q23" s="158"/>
    </row>
    <row r="24" spans="1:58" s="163" customFormat="1" ht="18" x14ac:dyDescent="0.25">
      <c r="A24" s="305" t="s">
        <v>7</v>
      </c>
      <c r="B24" s="306"/>
      <c r="C24" s="431"/>
      <c r="D24" s="431"/>
      <c r="E24" s="432"/>
      <c r="F24" s="154"/>
      <c r="G24" s="159">
        <f>IF((AND(D27="Y",D28="N",D30=1)),K24,0)</f>
        <v>0</v>
      </c>
      <c r="H24" s="143">
        <f>IF((AND(D27="Y",D31="D",D30=1)),L24,0)</f>
        <v>0</v>
      </c>
      <c r="I24" s="143">
        <f>IF((AND(D27="Y",D31="I",D30=1)),M24,0)</f>
        <v>0</v>
      </c>
      <c r="J24" s="143" t="s">
        <v>10</v>
      </c>
      <c r="K24" s="143">
        <v>3500</v>
      </c>
      <c r="L24" s="143">
        <v>2000</v>
      </c>
      <c r="M24" s="143">
        <v>6000</v>
      </c>
      <c r="N24" s="143"/>
      <c r="O24" s="157"/>
      <c r="P24" s="157"/>
      <c r="Q24" s="158"/>
      <c r="R24" s="161"/>
      <c r="S24" s="161"/>
      <c r="T24" s="161"/>
      <c r="U24" s="161"/>
      <c r="V24" s="161"/>
      <c r="W24" s="161"/>
      <c r="X24" s="161"/>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row>
    <row r="25" spans="1:58" s="163" customFormat="1" ht="18.75" thickBot="1" x14ac:dyDescent="0.3">
      <c r="A25" s="305" t="s">
        <v>307</v>
      </c>
      <c r="B25" s="306"/>
      <c r="C25" s="431"/>
      <c r="D25" s="431"/>
      <c r="E25" s="432"/>
      <c r="F25" s="148"/>
      <c r="G25" s="159">
        <f>IF((AND(D27="Y",D28="N",D30=2)),K25,0)</f>
        <v>0</v>
      </c>
      <c r="H25" s="143">
        <f>IF((AND(D27="Y",D31="D",D30=2)),L25,0)</f>
        <v>0</v>
      </c>
      <c r="I25" s="143">
        <f>IF((AND(D27="Y",D31="I",D30=2)),M25,0)</f>
        <v>0</v>
      </c>
      <c r="J25" s="143" t="s">
        <v>11</v>
      </c>
      <c r="K25" s="143">
        <v>4500</v>
      </c>
      <c r="L25" s="143">
        <v>2000</v>
      </c>
      <c r="M25" s="143">
        <v>6000</v>
      </c>
      <c r="N25" s="143"/>
      <c r="O25" s="143"/>
      <c r="P25" s="143"/>
      <c r="Q25" s="144"/>
      <c r="R25" s="161"/>
      <c r="S25" s="161"/>
      <c r="T25" s="161"/>
      <c r="U25" s="161"/>
      <c r="V25" s="161"/>
      <c r="W25" s="161"/>
      <c r="X25" s="161"/>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row>
    <row r="26" spans="1:58" s="163" customFormat="1" ht="18.75" thickBot="1" x14ac:dyDescent="0.3">
      <c r="A26" s="330" t="s">
        <v>337</v>
      </c>
      <c r="B26" s="331"/>
      <c r="C26" s="332"/>
      <c r="D26" s="333"/>
      <c r="E26" s="296"/>
      <c r="F26" s="148"/>
      <c r="G26" s="159">
        <f>IF((AND(D27="Y",D28="N",D30&gt;2)),K26,0)</f>
        <v>0</v>
      </c>
      <c r="H26" s="143">
        <f>IF((AND(D27="Y",D31="D",D30&gt;2)),L26,0)</f>
        <v>0</v>
      </c>
      <c r="I26" s="143">
        <f>IF((AND(D27="Y",D31="I",D30&gt;2)),M26,0)</f>
        <v>0</v>
      </c>
      <c r="J26" s="143" t="s">
        <v>22</v>
      </c>
      <c r="K26" s="143">
        <v>5500</v>
      </c>
      <c r="L26" s="143">
        <v>2000</v>
      </c>
      <c r="M26" s="143">
        <v>7000</v>
      </c>
      <c r="N26" s="143"/>
      <c r="O26" s="143"/>
      <c r="P26" s="143"/>
      <c r="Q26" s="144"/>
      <c r="R26" s="161"/>
      <c r="S26" s="161"/>
      <c r="T26" s="161"/>
      <c r="U26" s="161"/>
      <c r="V26" s="161"/>
      <c r="W26" s="161"/>
      <c r="X26" s="161"/>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row>
    <row r="27" spans="1:58" ht="31.5" x14ac:dyDescent="0.25">
      <c r="A27" s="334" t="s">
        <v>338</v>
      </c>
      <c r="B27" s="310"/>
      <c r="C27" s="314" t="s">
        <v>336</v>
      </c>
      <c r="D27" s="307" t="s">
        <v>6</v>
      </c>
      <c r="E27" s="315"/>
      <c r="F27" s="148"/>
      <c r="G27" s="159">
        <f>IF((AND(D27="Y", D28="Y", D29="Y")),K27,0)</f>
        <v>0</v>
      </c>
      <c r="H27" s="143">
        <f>IF((AND(D28="Y",D32="D",D31&gt;2)),L27,0)</f>
        <v>0</v>
      </c>
      <c r="I27" s="160">
        <f>IF((AND(D27="Y", D28="Y", D29="Y")),M27,0)</f>
        <v>0</v>
      </c>
      <c r="J27" s="143" t="s">
        <v>12</v>
      </c>
      <c r="K27" s="143">
        <f>K23</f>
        <v>0</v>
      </c>
      <c r="L27" s="143">
        <f>L23</f>
        <v>0</v>
      </c>
      <c r="M27" s="143">
        <f>M23</f>
        <v>20500</v>
      </c>
    </row>
    <row r="28" spans="1:58" ht="15.75" x14ac:dyDescent="0.25">
      <c r="A28" s="300"/>
      <c r="B28" s="301"/>
      <c r="C28" s="316" t="str">
        <f>IF(D27="N", "Do not adjust this line", "Are you taking a profesional course but at undergraduate level? Only answer Y or N")</f>
        <v>Do not adjust this line</v>
      </c>
      <c r="D28" s="307" t="s">
        <v>60</v>
      </c>
      <c r="E28" s="315"/>
      <c r="F28" s="148"/>
      <c r="G28" s="159">
        <f>MAX(G23:G27)</f>
        <v>0</v>
      </c>
      <c r="H28" s="160"/>
      <c r="I28" s="160">
        <f>MAX(H23:I27)</f>
        <v>20500</v>
      </c>
      <c r="J28" s="132" t="s">
        <v>35</v>
      </c>
      <c r="K28" s="132"/>
      <c r="L28" s="132" t="s">
        <v>182</v>
      </c>
    </row>
    <row r="29" spans="1:58" ht="15.75" x14ac:dyDescent="0.25">
      <c r="A29" s="300"/>
      <c r="B29" s="301"/>
      <c r="C29" s="317" t="str">
        <f>IF((AND( D27="Y", D28="Y")), "Do you already have another undergraduate degree - answer Y or N", "Do not adjust this line" )</f>
        <v>Do not adjust this line</v>
      </c>
      <c r="D29" s="307" t="s">
        <v>60</v>
      </c>
      <c r="E29" s="315"/>
      <c r="F29" s="148"/>
      <c r="G29" s="164"/>
      <c r="K29" s="132"/>
    </row>
    <row r="30" spans="1:58" ht="15.75" x14ac:dyDescent="0.25">
      <c r="A30" s="300"/>
      <c r="B30" s="301"/>
      <c r="C30" s="437" t="s">
        <v>308</v>
      </c>
      <c r="D30" s="318">
        <v>1</v>
      </c>
      <c r="E30" s="315"/>
      <c r="F30" s="148"/>
      <c r="G30" s="164"/>
      <c r="H30" s="132" t="s">
        <v>160</v>
      </c>
      <c r="L30" s="165" t="s">
        <v>64</v>
      </c>
    </row>
    <row r="31" spans="1:58" ht="15.75" x14ac:dyDescent="0.25">
      <c r="A31" s="300"/>
      <c r="B31" s="301"/>
      <c r="C31" s="440" t="s">
        <v>374</v>
      </c>
      <c r="D31" s="307" t="s">
        <v>66</v>
      </c>
      <c r="E31" s="315"/>
      <c r="F31" s="166"/>
      <c r="G31" s="164" t="s">
        <v>41</v>
      </c>
      <c r="H31" s="167" t="s">
        <v>14</v>
      </c>
      <c r="I31" s="167" t="s">
        <v>15</v>
      </c>
      <c r="J31" s="132" t="s">
        <v>13</v>
      </c>
      <c r="K31" s="132"/>
      <c r="L31" s="143" t="s">
        <v>12</v>
      </c>
    </row>
    <row r="32" spans="1:58" ht="15.75" x14ac:dyDescent="0.25">
      <c r="A32" s="300"/>
      <c r="B32" s="301"/>
      <c r="C32" s="438" t="s">
        <v>373</v>
      </c>
      <c r="D32" s="320">
        <v>0</v>
      </c>
      <c r="E32" s="321"/>
      <c r="F32" s="166"/>
      <c r="G32" s="168">
        <f>D7</f>
        <v>1.4021999999999999</v>
      </c>
      <c r="H32" s="160">
        <f>D33*G32</f>
        <v>0</v>
      </c>
      <c r="I32" s="160">
        <f>E33</f>
        <v>0</v>
      </c>
      <c r="J32" s="132" t="s">
        <v>16</v>
      </c>
    </row>
    <row r="33" spans="1:58" ht="15.75" x14ac:dyDescent="0.25">
      <c r="A33" s="300"/>
      <c r="B33" s="301"/>
      <c r="C33" s="438" t="s">
        <v>260</v>
      </c>
      <c r="D33" s="322">
        <v>0</v>
      </c>
      <c r="E33" s="321"/>
      <c r="F33" s="169"/>
      <c r="G33" s="164">
        <f>G32</f>
        <v>1.4021999999999999</v>
      </c>
      <c r="H33" s="160">
        <f>D34*G33</f>
        <v>0</v>
      </c>
      <c r="I33" s="160">
        <f>E34</f>
        <v>0</v>
      </c>
      <c r="J33" s="143" t="s">
        <v>17</v>
      </c>
    </row>
    <row r="34" spans="1:58" ht="28.5" x14ac:dyDescent="0.25">
      <c r="A34" s="300"/>
      <c r="B34" s="301"/>
      <c r="C34" s="441" t="s">
        <v>291</v>
      </c>
      <c r="D34" s="322">
        <v>0</v>
      </c>
      <c r="E34" s="323">
        <v>0</v>
      </c>
      <c r="F34" s="169"/>
      <c r="G34" s="164">
        <f>G33</f>
        <v>1.4021999999999999</v>
      </c>
      <c r="H34" s="160">
        <f>D35*G34</f>
        <v>0</v>
      </c>
      <c r="I34" s="160">
        <f>E35</f>
        <v>0</v>
      </c>
      <c r="J34" s="143" t="s">
        <v>18</v>
      </c>
    </row>
    <row r="35" spans="1:58" ht="15.75" x14ac:dyDescent="0.25">
      <c r="A35" s="300"/>
      <c r="B35" s="301"/>
      <c r="C35" s="439" t="s">
        <v>309</v>
      </c>
      <c r="D35" s="322">
        <v>0</v>
      </c>
      <c r="E35" s="324"/>
      <c r="F35" s="169"/>
      <c r="G35" s="164">
        <f>G34</f>
        <v>1.4021999999999999</v>
      </c>
      <c r="H35" s="160">
        <f>D36*G35</f>
        <v>0</v>
      </c>
      <c r="I35" s="160">
        <f>E36</f>
        <v>0</v>
      </c>
      <c r="J35" s="143" t="s">
        <v>45</v>
      </c>
    </row>
    <row r="36" spans="1:58" ht="15.75" x14ac:dyDescent="0.25">
      <c r="A36" s="300"/>
      <c r="B36" s="301"/>
      <c r="C36" s="438" t="s">
        <v>292</v>
      </c>
      <c r="D36" s="322">
        <v>0</v>
      </c>
      <c r="E36" s="324"/>
      <c r="F36" s="169"/>
      <c r="G36" s="164">
        <f>G34</f>
        <v>1.4021999999999999</v>
      </c>
      <c r="H36" s="160">
        <f>D37*G36</f>
        <v>0</v>
      </c>
      <c r="I36" s="160">
        <f>E37</f>
        <v>0</v>
      </c>
      <c r="J36" s="143" t="s">
        <v>46</v>
      </c>
    </row>
    <row r="37" spans="1:58" s="163" customFormat="1" ht="16.5" thickBot="1" x14ac:dyDescent="0.3">
      <c r="A37" s="301"/>
      <c r="B37" s="301"/>
      <c r="C37" s="438" t="s">
        <v>293</v>
      </c>
      <c r="D37" s="325"/>
      <c r="E37" s="326">
        <v>0</v>
      </c>
      <c r="F37" s="170"/>
      <c r="G37" s="171"/>
      <c r="H37" s="172"/>
      <c r="I37" s="173">
        <f>SUM(H33:I36)</f>
        <v>0</v>
      </c>
      <c r="J37" s="149" t="s">
        <v>44</v>
      </c>
      <c r="K37" s="149"/>
      <c r="L37" s="157"/>
      <c r="M37" s="157"/>
      <c r="N37" s="157"/>
      <c r="O37" s="157"/>
      <c r="P37" s="157"/>
      <c r="Q37" s="158"/>
      <c r="R37" s="161"/>
      <c r="S37" s="161"/>
      <c r="T37" s="161"/>
      <c r="U37" s="161"/>
      <c r="V37" s="161"/>
      <c r="W37" s="161"/>
      <c r="X37" s="161"/>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row>
    <row r="38" spans="1:58" ht="14.25" customHeight="1" thickBot="1" x14ac:dyDescent="0.3">
      <c r="A38" s="306"/>
      <c r="B38" s="306"/>
      <c r="C38" s="311" t="s">
        <v>267</v>
      </c>
      <c r="D38" s="312" t="s">
        <v>266</v>
      </c>
      <c r="E38" s="313"/>
      <c r="F38" s="174"/>
      <c r="G38" s="164"/>
      <c r="I38" s="160"/>
    </row>
    <row r="39" spans="1:58" ht="16.5" thickBot="1" x14ac:dyDescent="0.3">
      <c r="A39" s="58"/>
      <c r="B39" s="58"/>
      <c r="C39" s="327"/>
      <c r="D39" s="328"/>
      <c r="E39" s="329"/>
      <c r="F39" s="175"/>
      <c r="G39" s="164"/>
      <c r="H39" s="132" t="s">
        <v>161</v>
      </c>
    </row>
    <row r="40" spans="1:58" ht="18.75" thickBot="1" x14ac:dyDescent="0.3">
      <c r="A40" s="335" t="s">
        <v>339</v>
      </c>
      <c r="B40" s="347" t="s">
        <v>346</v>
      </c>
      <c r="C40" s="336"/>
      <c r="D40" s="337"/>
      <c r="E40" s="338"/>
      <c r="F40" s="166"/>
      <c r="G40" s="164" t="s">
        <v>19</v>
      </c>
      <c r="H40" s="160" t="s">
        <v>33</v>
      </c>
      <c r="I40" s="160" t="s">
        <v>34</v>
      </c>
      <c r="J40" s="143" t="s">
        <v>32</v>
      </c>
    </row>
    <row r="41" spans="1:58" ht="15.75" x14ac:dyDescent="0.25">
      <c r="A41" s="56"/>
      <c r="B41" s="57"/>
      <c r="C41" s="339"/>
      <c r="D41" s="348" t="s">
        <v>262</v>
      </c>
      <c r="E41" s="349" t="s">
        <v>79</v>
      </c>
      <c r="F41" s="166"/>
      <c r="G41" s="164">
        <f>D9</f>
        <v>43</v>
      </c>
      <c r="H41" s="160">
        <f>E42*G32*G41</f>
        <v>0</v>
      </c>
      <c r="I41" s="160">
        <f>J41*G32*E42</f>
        <v>0</v>
      </c>
      <c r="J41" s="176">
        <f>D10</f>
        <v>52</v>
      </c>
      <c r="K41" s="176"/>
    </row>
    <row r="42" spans="1:58" ht="15" x14ac:dyDescent="0.2">
      <c r="A42" s="56"/>
      <c r="B42" s="57"/>
      <c r="C42" s="339" t="s">
        <v>366</v>
      </c>
      <c r="D42" s="345">
        <f>'School DATA'!I11</f>
        <v>469</v>
      </c>
      <c r="E42" s="341">
        <v>0</v>
      </c>
      <c r="F42" s="166"/>
      <c r="G42" s="164">
        <f>D9</f>
        <v>43</v>
      </c>
      <c r="H42" s="160">
        <f>E43*G33*G42</f>
        <v>0</v>
      </c>
      <c r="I42" s="160">
        <f>J42*G33*E43</f>
        <v>0</v>
      </c>
      <c r="J42" s="176">
        <f>J41</f>
        <v>52</v>
      </c>
      <c r="K42" s="176"/>
    </row>
    <row r="43" spans="1:58" ht="15" x14ac:dyDescent="0.2">
      <c r="A43" s="56"/>
      <c r="B43" s="57"/>
      <c r="C43" s="339" t="s">
        <v>367</v>
      </c>
      <c r="D43" s="345">
        <f>'School DATA'!H12+'School DATA'!H13</f>
        <v>140</v>
      </c>
      <c r="E43" s="341">
        <v>0</v>
      </c>
      <c r="F43" s="166"/>
      <c r="G43" s="164">
        <f>G42</f>
        <v>43</v>
      </c>
      <c r="H43" s="160">
        <f>E44*G32*G43</f>
        <v>0</v>
      </c>
      <c r="I43" s="160">
        <f>J43*G34*E44</f>
        <v>0</v>
      </c>
      <c r="J43" s="176">
        <f>J42</f>
        <v>52</v>
      </c>
      <c r="K43" s="176"/>
    </row>
    <row r="44" spans="1:58" ht="15" x14ac:dyDescent="0.2">
      <c r="A44" s="56"/>
      <c r="B44" s="57"/>
      <c r="C44" s="339" t="s">
        <v>4</v>
      </c>
      <c r="D44" s="345">
        <f>'School DATA'!H14</f>
        <v>20</v>
      </c>
      <c r="E44" s="341">
        <v>0</v>
      </c>
      <c r="F44" s="166"/>
      <c r="G44" s="164">
        <f>G43</f>
        <v>43</v>
      </c>
      <c r="H44" s="160">
        <f>E45*G33*G44</f>
        <v>0</v>
      </c>
      <c r="I44" s="160">
        <f>J44*G35*E45</f>
        <v>0</v>
      </c>
      <c r="J44" s="176">
        <f>J43</f>
        <v>52</v>
      </c>
      <c r="K44" s="176"/>
    </row>
    <row r="45" spans="1:58" ht="15" x14ac:dyDescent="0.2">
      <c r="A45" s="56"/>
      <c r="B45" s="57"/>
      <c r="C45" s="339" t="s">
        <v>245</v>
      </c>
      <c r="D45" s="345">
        <f>'School DATA'!H15</f>
        <v>50</v>
      </c>
      <c r="E45" s="341">
        <v>0</v>
      </c>
      <c r="F45" s="166"/>
      <c r="G45" s="164">
        <f>G44</f>
        <v>43</v>
      </c>
      <c r="H45" s="160">
        <f>E46*G34*G45</f>
        <v>0</v>
      </c>
      <c r="I45" s="160">
        <f>J45*G36*E46</f>
        <v>0</v>
      </c>
      <c r="J45" s="176">
        <f>J44</f>
        <v>52</v>
      </c>
      <c r="K45" s="176"/>
    </row>
    <row r="46" spans="1:58" ht="15.75" thickBot="1" x14ac:dyDescent="0.25">
      <c r="A46" s="56"/>
      <c r="B46" s="57"/>
      <c r="C46" s="339" t="s">
        <v>1</v>
      </c>
      <c r="D46" s="345">
        <f>'School DATA'!H16</f>
        <v>70</v>
      </c>
      <c r="E46" s="341">
        <v>0</v>
      </c>
      <c r="F46" s="166"/>
      <c r="G46" s="164"/>
      <c r="H46" s="160"/>
      <c r="I46" s="160"/>
    </row>
    <row r="47" spans="1:58" ht="15.75" thickBot="1" x14ac:dyDescent="0.25">
      <c r="A47" s="57"/>
      <c r="B47" s="57"/>
      <c r="C47" s="319"/>
      <c r="D47" s="400"/>
      <c r="E47" s="401"/>
      <c r="F47" s="174"/>
      <c r="H47" s="160"/>
      <c r="I47" s="160"/>
    </row>
    <row r="48" spans="1:58" ht="21.75" thickBot="1" x14ac:dyDescent="0.4">
      <c r="A48" s="249"/>
      <c r="B48" s="249"/>
      <c r="C48" s="124"/>
      <c r="D48" s="60"/>
      <c r="E48" s="59"/>
      <c r="F48" s="175"/>
      <c r="H48" s="132" t="s">
        <v>162</v>
      </c>
      <c r="I48" s="160"/>
      <c r="K48" s="127" t="s">
        <v>87</v>
      </c>
    </row>
    <row r="49" spans="1:58" ht="21" x14ac:dyDescent="0.35">
      <c r="A49" s="375" t="s">
        <v>340</v>
      </c>
      <c r="B49" s="376" t="s">
        <v>344</v>
      </c>
      <c r="C49" s="377"/>
      <c r="D49" s="424" t="s">
        <v>263</v>
      </c>
      <c r="E49" s="422" t="str">
        <f>E41</f>
        <v>Your Request</v>
      </c>
      <c r="F49" s="175"/>
      <c r="H49" s="132"/>
      <c r="I49" s="160"/>
      <c r="K49" s="127"/>
    </row>
    <row r="50" spans="1:58" ht="18.75" thickBot="1" x14ac:dyDescent="0.3">
      <c r="A50" s="378"/>
      <c r="B50" s="379" t="s">
        <v>345</v>
      </c>
      <c r="C50" s="380"/>
      <c r="D50" s="425"/>
      <c r="E50" s="423"/>
      <c r="F50" s="177"/>
      <c r="G50" s="178">
        <f>D7</f>
        <v>1.4021999999999999</v>
      </c>
      <c r="H50" s="160">
        <f t="shared" ref="H50:H56" si="0">E51*G50</f>
        <v>0</v>
      </c>
      <c r="I50" s="160"/>
      <c r="L50" s="143" t="s">
        <v>89</v>
      </c>
      <c r="M50" s="143" t="s">
        <v>146</v>
      </c>
      <c r="N50" s="143" t="s">
        <v>154</v>
      </c>
      <c r="O50" s="143" t="s">
        <v>148</v>
      </c>
    </row>
    <row r="51" spans="1:58" ht="15" x14ac:dyDescent="0.2">
      <c r="A51" s="250"/>
      <c r="B51" s="249"/>
      <c r="C51" s="339" t="s">
        <v>2</v>
      </c>
      <c r="D51" s="340">
        <f>'School DATA'!H19*2</f>
        <v>2900</v>
      </c>
      <c r="E51" s="341">
        <v>0</v>
      </c>
      <c r="G51" s="143">
        <f t="shared" ref="G51:G56" si="1">G50</f>
        <v>1.4021999999999999</v>
      </c>
      <c r="H51" s="160">
        <f t="shared" si="0"/>
        <v>0</v>
      </c>
      <c r="I51" s="160"/>
      <c r="K51" s="143" t="s">
        <v>88</v>
      </c>
      <c r="M51" s="143" t="s">
        <v>147</v>
      </c>
      <c r="N51" s="143" t="s">
        <v>41</v>
      </c>
      <c r="O51" s="143" t="s">
        <v>149</v>
      </c>
    </row>
    <row r="52" spans="1:58" ht="15" x14ac:dyDescent="0.2">
      <c r="A52" s="250"/>
      <c r="B52" s="249"/>
      <c r="C52" s="339" t="s">
        <v>140</v>
      </c>
      <c r="D52" s="340">
        <f>'School DATA'!H20</f>
        <v>500</v>
      </c>
      <c r="E52" s="341">
        <v>0</v>
      </c>
      <c r="F52" s="166"/>
      <c r="G52" s="143">
        <f t="shared" si="1"/>
        <v>1.4021999999999999</v>
      </c>
      <c r="H52" s="160">
        <f t="shared" si="0"/>
        <v>0</v>
      </c>
      <c r="I52" s="160"/>
      <c r="K52" s="143" t="s">
        <v>170</v>
      </c>
      <c r="L52" s="179">
        <f>'School DATA'!D38</f>
        <v>1.0569999999999999</v>
      </c>
      <c r="M52" s="179">
        <f>'School DATA'!E38</f>
        <v>0</v>
      </c>
      <c r="N52" s="179">
        <f>L52-M52</f>
        <v>1.0569999999999999</v>
      </c>
      <c r="O52" s="180">
        <f>N52*0.01</f>
        <v>1.057E-2</v>
      </c>
    </row>
    <row r="53" spans="1:58" ht="15" x14ac:dyDescent="0.2">
      <c r="A53" s="250"/>
      <c r="B53" s="249"/>
      <c r="C53" s="339" t="s">
        <v>247</v>
      </c>
      <c r="D53" s="340">
        <f>'School DATA'!H21</f>
        <v>1200</v>
      </c>
      <c r="E53" s="341">
        <v>0</v>
      </c>
      <c r="F53" s="166"/>
      <c r="G53" s="143">
        <f t="shared" si="1"/>
        <v>1.4021999999999999</v>
      </c>
      <c r="H53" s="160">
        <f t="shared" si="0"/>
        <v>0</v>
      </c>
      <c r="I53" s="160"/>
      <c r="K53" s="143" t="s">
        <v>171</v>
      </c>
      <c r="L53" s="179">
        <f>'School DATA'!D39</f>
        <v>1.0569999999999999</v>
      </c>
      <c r="M53" s="179">
        <f>'School DATA'!E39</f>
        <v>0</v>
      </c>
      <c r="N53" s="179">
        <f>L53-M53</f>
        <v>1.0569999999999999</v>
      </c>
      <c r="O53" s="180">
        <f>N53*0.01</f>
        <v>1.057E-2</v>
      </c>
    </row>
    <row r="54" spans="1:58" ht="15" x14ac:dyDescent="0.2">
      <c r="A54" s="250"/>
      <c r="B54" s="249"/>
      <c r="C54" s="339" t="str">
        <f>'School DATA'!G22</f>
        <v>Visa £322 and NHS charge £150.00</v>
      </c>
      <c r="D54" s="340">
        <f>SUM('School DATA'!H22)</f>
        <v>472</v>
      </c>
      <c r="E54" s="341">
        <v>0</v>
      </c>
      <c r="F54" s="166"/>
      <c r="G54" s="143">
        <f t="shared" si="1"/>
        <v>1.4021999999999999</v>
      </c>
      <c r="H54" s="160">
        <f t="shared" si="0"/>
        <v>0</v>
      </c>
      <c r="I54" s="160"/>
      <c r="K54" s="143" t="s">
        <v>172</v>
      </c>
      <c r="L54" s="179">
        <f>'School DATA'!D40</f>
        <v>4.2279999999999998</v>
      </c>
      <c r="M54" s="179">
        <f>'School DATA'!E40</f>
        <v>0</v>
      </c>
      <c r="N54" s="179">
        <f>L54-M54</f>
        <v>4.2279999999999998</v>
      </c>
      <c r="O54" s="180">
        <f>N54*0.01</f>
        <v>4.2279999999999998E-2</v>
      </c>
    </row>
    <row r="55" spans="1:58" ht="15" x14ac:dyDescent="0.2">
      <c r="A55" s="250"/>
      <c r="B55" s="249"/>
      <c r="C55" s="339" t="str">
        <f>'School DATA'!G23</f>
        <v>Add any other essential costs - write here - only in £</v>
      </c>
      <c r="D55" s="340">
        <f>'School DATA'!H23</f>
        <v>0</v>
      </c>
      <c r="E55" s="341">
        <f>D55</f>
        <v>0</v>
      </c>
      <c r="F55" s="166"/>
      <c r="G55" s="143">
        <f t="shared" si="1"/>
        <v>1.4021999999999999</v>
      </c>
      <c r="H55" s="160">
        <f t="shared" si="0"/>
        <v>0</v>
      </c>
      <c r="I55" s="160"/>
    </row>
    <row r="56" spans="1:58" ht="15" x14ac:dyDescent="0.2">
      <c r="A56" s="250"/>
      <c r="B56" s="249"/>
      <c r="C56" s="339" t="str">
        <f>'School DATA'!G24</f>
        <v>Add any other essential costs - write here - only in £</v>
      </c>
      <c r="D56" s="340">
        <f>'School DATA'!H24</f>
        <v>0</v>
      </c>
      <c r="E56" s="341">
        <f>D56</f>
        <v>0</v>
      </c>
      <c r="F56" s="166"/>
      <c r="G56" s="143">
        <f t="shared" si="1"/>
        <v>1.4021999999999999</v>
      </c>
      <c r="H56" s="160">
        <f t="shared" si="0"/>
        <v>0</v>
      </c>
    </row>
    <row r="57" spans="1:58" ht="15" x14ac:dyDescent="0.2">
      <c r="A57" s="249"/>
      <c r="B57" s="249"/>
      <c r="C57" s="339" t="str">
        <f>'School DATA'!G25</f>
        <v>Add any other essential costs - write here - only in £</v>
      </c>
      <c r="D57" s="340">
        <f>'School DATA'!H25</f>
        <v>0</v>
      </c>
      <c r="E57" s="341">
        <f>D57</f>
        <v>0</v>
      </c>
      <c r="F57" s="174"/>
    </row>
    <row r="58" spans="1:58" ht="21.75" thickBot="1" x14ac:dyDescent="0.4">
      <c r="A58" s="251"/>
      <c r="B58" s="78"/>
      <c r="C58" s="342"/>
      <c r="D58" s="343"/>
      <c r="E58" s="344"/>
      <c r="F58" s="181"/>
      <c r="G58" s="182"/>
      <c r="H58" s="132" t="s">
        <v>163</v>
      </c>
      <c r="J58" s="127"/>
      <c r="K58" s="165" t="s">
        <v>53</v>
      </c>
      <c r="L58" s="165" t="s">
        <v>54</v>
      </c>
      <c r="M58" s="132" t="s">
        <v>174</v>
      </c>
      <c r="N58" s="132" t="s">
        <v>169</v>
      </c>
    </row>
    <row r="59" spans="1:58" ht="21.75" thickBot="1" x14ac:dyDescent="0.4">
      <c r="A59" s="335" t="s">
        <v>341</v>
      </c>
      <c r="B59" s="420" t="s">
        <v>264</v>
      </c>
      <c r="C59" s="420"/>
      <c r="D59" s="420"/>
      <c r="E59" s="421"/>
      <c r="F59" s="183"/>
      <c r="G59" s="184" t="s">
        <v>167</v>
      </c>
      <c r="H59" s="185" t="s">
        <v>26</v>
      </c>
      <c r="J59" s="143" t="s">
        <v>48</v>
      </c>
      <c r="K59" s="186">
        <f>H69</f>
        <v>0</v>
      </c>
      <c r="L59" s="186"/>
    </row>
    <row r="60" spans="1:58" s="130" customFormat="1" ht="21" x14ac:dyDescent="0.35">
      <c r="A60" s="61"/>
      <c r="B60" s="61"/>
      <c r="C60" s="252" t="str">
        <f>G59</f>
        <v>Requested Cost of Attendance (Values rounded)</v>
      </c>
      <c r="D60" s="253" t="str">
        <f>H59</f>
        <v>$</v>
      </c>
      <c r="E60" s="254"/>
      <c r="F60" s="187"/>
      <c r="G60" s="188" t="s">
        <v>27</v>
      </c>
      <c r="H60" s="189">
        <f>ROUND(H32,0)</f>
        <v>0</v>
      </c>
      <c r="I60" s="190"/>
      <c r="J60" s="143" t="s">
        <v>49</v>
      </c>
      <c r="K60" s="186">
        <f>-D32</f>
        <v>0</v>
      </c>
      <c r="L60" s="186"/>
      <c r="M60" s="127"/>
      <c r="N60" s="143"/>
      <c r="O60" s="127"/>
      <c r="P60" s="127"/>
      <c r="Q60" s="128"/>
      <c r="R60" s="129"/>
      <c r="S60" s="129"/>
      <c r="T60" s="145"/>
      <c r="U60" s="129"/>
      <c r="V60" s="129"/>
      <c r="W60" s="129"/>
      <c r="X60" s="129"/>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row>
    <row r="61" spans="1:58" ht="15.75" x14ac:dyDescent="0.25">
      <c r="A61" s="78"/>
      <c r="B61" s="78"/>
      <c r="C61" s="255" t="str">
        <f>G60</f>
        <v>Tuition Fees</v>
      </c>
      <c r="D61" s="256">
        <f>H60</f>
        <v>0</v>
      </c>
      <c r="E61" s="257"/>
      <c r="F61" s="187"/>
      <c r="G61" s="188" t="s">
        <v>28</v>
      </c>
      <c r="H61" s="189">
        <f>ROUND((IF(D27="N",I41,H41)),0)</f>
        <v>0</v>
      </c>
      <c r="I61" s="190"/>
      <c r="J61" s="143" t="s">
        <v>52</v>
      </c>
      <c r="K61" s="186">
        <f>IF((SUM(K59:K60)&gt;0),(SUM(K59:K60)),0)</f>
        <v>0</v>
      </c>
      <c r="L61" s="186"/>
      <c r="N61" s="186">
        <f>IF((K61&lt;K63),(K63-K61),0)</f>
        <v>0</v>
      </c>
    </row>
    <row r="62" spans="1:58" ht="15.75" x14ac:dyDescent="0.25">
      <c r="A62" s="78"/>
      <c r="B62" s="78"/>
      <c r="C62" s="255" t="str">
        <f t="shared" ref="C62:C80" si="2">G61</f>
        <v>Room</v>
      </c>
      <c r="D62" s="256">
        <f t="shared" ref="D62:D70" si="3">H61</f>
        <v>0</v>
      </c>
      <c r="E62" s="257"/>
      <c r="F62" s="187"/>
      <c r="G62" s="188" t="s">
        <v>29</v>
      </c>
      <c r="H62" s="189">
        <f>ROUND((IF(D27="N",I42,H42)),0)</f>
        <v>0</v>
      </c>
      <c r="I62" s="190"/>
      <c r="J62" s="143" t="s">
        <v>168</v>
      </c>
      <c r="K62" s="186">
        <f>G28</f>
        <v>0</v>
      </c>
      <c r="L62" s="186"/>
    </row>
    <row r="63" spans="1:58" ht="15.75" x14ac:dyDescent="0.25">
      <c r="A63" s="78"/>
      <c r="B63" s="78"/>
      <c r="C63" s="255" t="str">
        <f t="shared" si="2"/>
        <v>Board</v>
      </c>
      <c r="D63" s="256">
        <f t="shared" si="3"/>
        <v>0</v>
      </c>
      <c r="E63" s="257"/>
      <c r="F63" s="187"/>
      <c r="G63" s="188" t="s">
        <v>30</v>
      </c>
      <c r="H63" s="189">
        <f>ROUND((IF(D27="N",I43,H43)),0)</f>
        <v>0</v>
      </c>
      <c r="I63" s="190"/>
      <c r="J63" s="132" t="s">
        <v>50</v>
      </c>
      <c r="K63" s="191">
        <f>IF((((K61/(100-N52))*100)&lt;K62),((K61/(100-N52))*100),K62)</f>
        <v>0</v>
      </c>
      <c r="L63" s="186"/>
      <c r="M63" s="143">
        <f>IF((N61&gt;0),0,(K63*O52))</f>
        <v>0</v>
      </c>
      <c r="P63" s="186"/>
    </row>
    <row r="64" spans="1:58" ht="15.75" x14ac:dyDescent="0.25">
      <c r="A64" s="78"/>
      <c r="B64" s="78"/>
      <c r="C64" s="255" t="str">
        <f t="shared" si="2"/>
        <v>Books</v>
      </c>
      <c r="D64" s="256">
        <f t="shared" si="3"/>
        <v>0</v>
      </c>
      <c r="E64" s="257"/>
      <c r="F64" s="187"/>
      <c r="G64" s="188" t="s">
        <v>31</v>
      </c>
      <c r="H64" s="189">
        <f>ROUND((IF(D27="N",I44,H44)),0)</f>
        <v>0</v>
      </c>
      <c r="I64" s="190"/>
      <c r="K64" s="186"/>
      <c r="L64" s="186"/>
    </row>
    <row r="65" spans="1:58" ht="15.75" x14ac:dyDescent="0.25">
      <c r="A65" s="78"/>
      <c r="B65" s="78"/>
      <c r="C65" s="255" t="str">
        <f t="shared" si="2"/>
        <v>Travel</v>
      </c>
      <c r="D65" s="256">
        <f t="shared" si="3"/>
        <v>0</v>
      </c>
      <c r="E65" s="257"/>
      <c r="F65" s="187"/>
      <c r="G65" s="188" t="s">
        <v>1</v>
      </c>
      <c r="H65" s="189">
        <f>ROUND((IF(D27="N",I45,H45)),0)</f>
        <v>0</v>
      </c>
      <c r="I65" s="190"/>
      <c r="J65" s="143" t="s">
        <v>56</v>
      </c>
      <c r="K65" s="186"/>
      <c r="L65" s="186">
        <f>IF((N61&gt;0),(K59+N61-K63),(K59-K63+M63))</f>
        <v>0</v>
      </c>
      <c r="N65" s="186">
        <f>IF((((L67-L65)&gt;0)),(L67-L65),0)</f>
        <v>0</v>
      </c>
    </row>
    <row r="66" spans="1:58" ht="16.5" thickBot="1" x14ac:dyDescent="0.3">
      <c r="A66" s="78"/>
      <c r="B66" s="78"/>
      <c r="C66" s="255" t="str">
        <f t="shared" si="2"/>
        <v>Personal</v>
      </c>
      <c r="D66" s="256">
        <f t="shared" si="3"/>
        <v>0</v>
      </c>
      <c r="E66" s="257"/>
      <c r="F66" s="187"/>
      <c r="G66" s="188" t="s">
        <v>38</v>
      </c>
      <c r="H66" s="192">
        <f>SUM(H50:H56)</f>
        <v>0</v>
      </c>
      <c r="I66" s="190"/>
      <c r="J66" s="143" t="s">
        <v>55</v>
      </c>
      <c r="K66" s="186"/>
      <c r="L66" s="186">
        <f>G28+I28-K63</f>
        <v>20500</v>
      </c>
    </row>
    <row r="67" spans="1:58" ht="15.75" x14ac:dyDescent="0.25">
      <c r="A67" s="78"/>
      <c r="B67" s="78"/>
      <c r="C67" s="258" t="str">
        <f t="shared" si="2"/>
        <v>Other Essential Costs</v>
      </c>
      <c r="D67" s="259">
        <f t="shared" si="3"/>
        <v>0</v>
      </c>
      <c r="E67" s="257"/>
      <c r="F67" s="193"/>
      <c r="G67" s="194" t="s">
        <v>37</v>
      </c>
      <c r="H67" s="195">
        <f>SUM(H60:H66)</f>
        <v>0</v>
      </c>
      <c r="I67" s="196"/>
      <c r="J67" s="132" t="s">
        <v>51</v>
      </c>
      <c r="K67" s="191"/>
      <c r="L67" s="191">
        <f>IF((((L65/(100-N53))*100)&lt;L66),((L65/(100-N53))*100),L66)</f>
        <v>0</v>
      </c>
      <c r="M67" s="143">
        <f>+IF((N65&gt;0),0,(L67*O53))</f>
        <v>0</v>
      </c>
      <c r="Q67" s="134"/>
      <c r="R67" s="135"/>
      <c r="S67" s="135"/>
    </row>
    <row r="68" spans="1:58" ht="15.75" x14ac:dyDescent="0.25">
      <c r="A68" s="66"/>
      <c r="B68" s="66"/>
      <c r="C68" s="260" t="str">
        <f t="shared" si="2"/>
        <v>Total Cost of Attendance</v>
      </c>
      <c r="D68" s="261">
        <f t="shared" si="3"/>
        <v>0</v>
      </c>
      <c r="E68" s="262"/>
      <c r="F68" s="187"/>
      <c r="G68" s="188" t="s">
        <v>59</v>
      </c>
      <c r="H68" s="189">
        <f>ROUND((-I37),0)</f>
        <v>0</v>
      </c>
      <c r="I68" s="190"/>
      <c r="K68" s="186"/>
      <c r="L68" s="186"/>
    </row>
    <row r="69" spans="1:58" s="136" customFormat="1" ht="16.5" thickBot="1" x14ac:dyDescent="0.3">
      <c r="A69" s="78"/>
      <c r="B69" s="78"/>
      <c r="C69" s="255" t="str">
        <f t="shared" si="2"/>
        <v>Adjust for Sponsorship, Awards or other Aid</v>
      </c>
      <c r="D69" s="256">
        <f t="shared" si="3"/>
        <v>0</v>
      </c>
      <c r="E69" s="257"/>
      <c r="F69" s="187"/>
      <c r="G69" s="197" t="s">
        <v>80</v>
      </c>
      <c r="H69" s="198">
        <f>ROUND((SUM(H67:H68)),0)</f>
        <v>0</v>
      </c>
      <c r="I69" s="190"/>
      <c r="J69" s="132" t="s">
        <v>164</v>
      </c>
      <c r="K69" s="186"/>
      <c r="L69" s="186"/>
      <c r="M69" s="132"/>
      <c r="N69" s="165"/>
      <c r="O69" s="132"/>
      <c r="P69" s="132"/>
      <c r="Q69" s="144"/>
      <c r="R69" s="145"/>
      <c r="S69" s="145"/>
      <c r="T69" s="135"/>
      <c r="U69" s="135"/>
      <c r="V69" s="135"/>
      <c r="W69" s="135"/>
      <c r="X69" s="135"/>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spans="1:58" ht="17.25" thickTop="1" thickBot="1" x14ac:dyDescent="0.3">
      <c r="A70" s="263" t="str">
        <f>IF((D38="Private Loan"),"Private loan requested","")</f>
        <v/>
      </c>
      <c r="B70" s="78"/>
      <c r="C70" s="264" t="str">
        <f>G69</f>
        <v>Total Requested Cost of Attendance</v>
      </c>
      <c r="D70" s="265">
        <f t="shared" si="3"/>
        <v>0</v>
      </c>
      <c r="E70" s="257"/>
      <c r="F70" s="187"/>
      <c r="G70" s="190"/>
      <c r="H70" s="199"/>
      <c r="I70" s="190"/>
      <c r="J70" s="143" t="s">
        <v>165</v>
      </c>
      <c r="K70" s="186">
        <f>IF((N65=0),(K59-K63-L67+M63+M67),0)</f>
        <v>0</v>
      </c>
      <c r="L70" s="186"/>
      <c r="M70" s="200"/>
      <c r="N70" s="200"/>
      <c r="O70" s="132"/>
    </row>
    <row r="71" spans="1:58" ht="19.5" thickTop="1" x14ac:dyDescent="0.3">
      <c r="A71" s="78"/>
      <c r="B71" s="78"/>
      <c r="C71" s="266"/>
      <c r="D71" s="256"/>
      <c r="E71" s="257"/>
      <c r="F71" s="187"/>
      <c r="G71" s="190"/>
      <c r="H71" s="199"/>
      <c r="I71" s="190"/>
      <c r="K71" s="186"/>
      <c r="L71" s="186"/>
      <c r="M71" s="200"/>
      <c r="N71" s="200"/>
      <c r="O71" s="132"/>
    </row>
    <row r="72" spans="1:58" ht="18.75" x14ac:dyDescent="0.3">
      <c r="A72" s="78"/>
      <c r="B72" s="78"/>
      <c r="C72" s="266" t="str">
        <f>IF((D38=G12),"Maximum Private (Sallie Mae) loan we will certify is"," ")</f>
        <v xml:space="preserve"> </v>
      </c>
      <c r="D72" s="267" t="str">
        <f>IF((D38=G12),D80," ")</f>
        <v xml:space="preserve"> </v>
      </c>
      <c r="E72" s="257"/>
      <c r="F72" s="187"/>
      <c r="G72" s="190"/>
      <c r="H72" s="199"/>
      <c r="I72" s="190"/>
      <c r="K72" s="186"/>
      <c r="L72" s="186"/>
      <c r="M72" s="200"/>
      <c r="N72" s="200"/>
      <c r="O72" s="132"/>
    </row>
    <row r="73" spans="1:58" ht="21" x14ac:dyDescent="0.35">
      <c r="A73" s="78"/>
      <c r="B73" s="78"/>
      <c r="C73" s="266" t="str">
        <f>IF((D38=G12),"As you said (in cell D38) that you are seeking a Sallie Mae loan there is no need to complete anything below this line."," ")</f>
        <v xml:space="preserve"> </v>
      </c>
      <c r="D73" s="256"/>
      <c r="E73" s="257"/>
      <c r="F73" s="187"/>
      <c r="G73" s="201" t="s">
        <v>297</v>
      </c>
      <c r="H73" s="202" t="s">
        <v>26</v>
      </c>
      <c r="I73" s="190"/>
      <c r="J73" s="143" t="s">
        <v>166</v>
      </c>
      <c r="K73" s="186">
        <f>H5-K63-L67</f>
        <v>116391</v>
      </c>
      <c r="L73" s="186"/>
    </row>
    <row r="74" spans="1:58" ht="21" x14ac:dyDescent="0.35">
      <c r="A74" s="78"/>
      <c r="B74" s="78"/>
      <c r="C74" s="266"/>
      <c r="D74" s="256"/>
      <c r="E74" s="257"/>
      <c r="F74" s="187"/>
      <c r="G74" s="201" t="s">
        <v>311</v>
      </c>
      <c r="H74" s="202"/>
      <c r="I74" s="190"/>
      <c r="K74" s="186"/>
      <c r="L74" s="186"/>
    </row>
    <row r="75" spans="1:58" ht="21" x14ac:dyDescent="0.35">
      <c r="A75" s="78"/>
      <c r="B75" s="78"/>
      <c r="C75" s="268" t="str">
        <f>IF((D38=G12),G74,G73)</f>
        <v>Maximum Govt. Loan you can borrow</v>
      </c>
      <c r="D75" s="256"/>
      <c r="E75" s="257"/>
      <c r="F75" s="187"/>
      <c r="G75" s="188" t="s">
        <v>58</v>
      </c>
      <c r="H75" s="199">
        <f>K63</f>
        <v>0</v>
      </c>
      <c r="I75" s="190"/>
      <c r="J75" s="132" t="s">
        <v>57</v>
      </c>
      <c r="K75" s="191">
        <f>IF((((K70/(100-N54)*100))&lt;K73),((K70/(100-N54)*100)),(((K73+M63+M67)/(100-N54))*100))</f>
        <v>0</v>
      </c>
      <c r="L75" s="186"/>
      <c r="M75" s="203"/>
      <c r="N75" s="203"/>
    </row>
    <row r="76" spans="1:58" ht="15.75" x14ac:dyDescent="0.25">
      <c r="A76" s="78"/>
      <c r="B76" s="78"/>
      <c r="C76" s="255" t="str">
        <f>IF((D27="N"),L28,G75)</f>
        <v>From July 2012 there is no Subsidised Loan for postgraduates</v>
      </c>
      <c r="D76" s="256">
        <f>H75</f>
        <v>0</v>
      </c>
      <c r="E76" s="257" t="str">
        <f>IF((N61&gt;0),"Grossed up for fees","")</f>
        <v/>
      </c>
      <c r="F76" s="187"/>
      <c r="G76" s="188" t="s">
        <v>36</v>
      </c>
      <c r="H76" s="199">
        <f>L67</f>
        <v>0</v>
      </c>
      <c r="I76" s="190"/>
      <c r="L76" s="186"/>
      <c r="M76" s="204"/>
      <c r="N76" s="205"/>
      <c r="P76" s="186"/>
    </row>
    <row r="77" spans="1:58" ht="15.75" x14ac:dyDescent="0.25">
      <c r="A77" s="78"/>
      <c r="B77" s="78"/>
      <c r="C77" s="255" t="str">
        <f t="shared" si="2"/>
        <v>Unsubsudised</v>
      </c>
      <c r="D77" s="256">
        <f>H76</f>
        <v>0</v>
      </c>
      <c r="E77" s="257" t="str">
        <f>IF((N65&gt;0),"Grossed up for fees","")</f>
        <v/>
      </c>
      <c r="F77" s="187"/>
      <c r="G77" s="188" t="str">
        <f>IF((J78=2),K78,(IF((H69&gt;H5),"PLUS Loan to fulfil this CoA","")))</f>
        <v/>
      </c>
      <c r="I77" s="143" t="str">
        <f>IF((K73&lt;K70),K70,"")</f>
        <v/>
      </c>
      <c r="J77" s="132" t="s">
        <v>303</v>
      </c>
      <c r="M77" s="204"/>
      <c r="N77" s="205"/>
      <c r="P77" s="186"/>
    </row>
    <row r="78" spans="1:58" x14ac:dyDescent="0.2">
      <c r="A78" s="78"/>
      <c r="B78" s="78"/>
      <c r="C78" s="255" t="str">
        <f t="shared" si="2"/>
        <v/>
      </c>
      <c r="D78" s="256"/>
      <c r="E78" s="256" t="str">
        <f>I77</f>
        <v/>
      </c>
      <c r="G78" s="188" t="str">
        <f>IF((J78=2),"","Maximum PLUS Loan allowed for this CoA")</f>
        <v>Maximum PLUS Loan allowed for this CoA</v>
      </c>
      <c r="H78" s="206">
        <f>IF((J78=2),"",(IF((K70&lt;K73),(K70-M67-M63),K73)))</f>
        <v>0</v>
      </c>
      <c r="I78" s="190"/>
      <c r="J78" s="143">
        <f>(IF((D27="Y"),1,0))+(IF((D31="I"),1,0))</f>
        <v>0</v>
      </c>
      <c r="K78" s="143" t="s">
        <v>310</v>
      </c>
      <c r="M78" s="204"/>
      <c r="N78" s="203"/>
    </row>
    <row r="79" spans="1:58" ht="16.5" thickBot="1" x14ac:dyDescent="0.3">
      <c r="A79" s="269"/>
      <c r="B79" s="269"/>
      <c r="C79" s="255" t="str">
        <f t="shared" si="2"/>
        <v>Maximum PLUS Loan allowed for this CoA</v>
      </c>
      <c r="D79" s="256">
        <f>H78</f>
        <v>0</v>
      </c>
      <c r="E79" s="81"/>
      <c r="F79" s="187"/>
      <c r="G79" s="197" t="s">
        <v>158</v>
      </c>
      <c r="H79" s="207">
        <f>SUM(H75:H78)</f>
        <v>0</v>
      </c>
      <c r="I79" s="190"/>
      <c r="M79" s="204"/>
      <c r="N79" s="205"/>
    </row>
    <row r="80" spans="1:58" ht="17.25" thickTop="1" thickBot="1" x14ac:dyDescent="0.3">
      <c r="A80" s="78"/>
      <c r="B80" s="78"/>
      <c r="C80" s="264" t="str">
        <f t="shared" si="2"/>
        <v>Total Eligible before adjustment for Fees</v>
      </c>
      <c r="D80" s="265">
        <f>H79</f>
        <v>0</v>
      </c>
      <c r="E80" s="257"/>
      <c r="F80" s="187"/>
      <c r="G80" s="208"/>
      <c r="H80" s="209"/>
      <c r="M80" s="204"/>
      <c r="N80" s="205"/>
    </row>
    <row r="81" spans="1:58" ht="20.25" thickTop="1" thickBot="1" x14ac:dyDescent="0.35">
      <c r="A81" s="78"/>
      <c r="B81" s="78"/>
      <c r="C81" s="146"/>
      <c r="D81" s="257"/>
      <c r="E81" s="257"/>
      <c r="F81" s="210"/>
      <c r="G81" s="211"/>
      <c r="J81" s="208"/>
      <c r="K81" s="208"/>
      <c r="L81" s="208"/>
      <c r="M81" s="208"/>
      <c r="N81" s="208"/>
      <c r="O81" s="208"/>
      <c r="P81" s="208"/>
      <c r="Q81" s="212"/>
    </row>
    <row r="82" spans="1:58" s="217" customFormat="1" ht="18.75" x14ac:dyDescent="0.3">
      <c r="A82" s="375" t="s">
        <v>342</v>
      </c>
      <c r="B82" s="385"/>
      <c r="C82" s="386" t="s">
        <v>153</v>
      </c>
      <c r="D82" s="387"/>
      <c r="E82" s="346"/>
      <c r="F82" s="210"/>
      <c r="G82" s="211"/>
      <c r="H82" s="208" t="s">
        <v>62</v>
      </c>
      <c r="I82" s="213" t="s">
        <v>77</v>
      </c>
      <c r="J82" s="211"/>
      <c r="K82" s="211"/>
      <c r="L82" s="211"/>
      <c r="M82" s="211"/>
      <c r="N82" s="211"/>
      <c r="O82" s="211"/>
      <c r="P82" s="211"/>
      <c r="Q82" s="214"/>
      <c r="R82" s="215"/>
      <c r="S82" s="215"/>
      <c r="T82" s="215"/>
      <c r="U82" s="215"/>
      <c r="V82" s="215"/>
      <c r="W82" s="215"/>
      <c r="X82" s="215"/>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row>
    <row r="83" spans="1:58" s="220" customFormat="1" ht="18.75" x14ac:dyDescent="0.3">
      <c r="A83" s="402"/>
      <c r="B83" s="403"/>
      <c r="C83" s="404" t="str">
        <f>IF(H67&gt;H5, I82,"  ")</f>
        <v xml:space="preserve">  </v>
      </c>
      <c r="D83" s="405"/>
      <c r="E83" s="406"/>
      <c r="F83" s="210"/>
      <c r="G83" s="211"/>
      <c r="H83" s="208" t="s">
        <v>63</v>
      </c>
      <c r="I83" s="213" t="s">
        <v>97</v>
      </c>
      <c r="J83" s="211"/>
      <c r="K83" s="211"/>
      <c r="L83" s="211"/>
      <c r="M83" s="211"/>
      <c r="N83" s="211"/>
      <c r="O83" s="211"/>
      <c r="P83" s="211"/>
      <c r="Q83" s="214"/>
      <c r="R83" s="218"/>
      <c r="S83" s="218"/>
      <c r="T83" s="218"/>
      <c r="U83" s="218"/>
      <c r="V83" s="218"/>
      <c r="W83" s="218"/>
      <c r="X83" s="218"/>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row>
    <row r="84" spans="1:58" s="229" customFormat="1" ht="19.5" thickBot="1" x14ac:dyDescent="0.35">
      <c r="A84" s="407"/>
      <c r="B84" s="408"/>
      <c r="C84" s="409" t="str">
        <f>IF(H67&gt;H5, I83,I84)</f>
        <v>You are allowed to borrow up to the values above</v>
      </c>
      <c r="D84" s="410"/>
      <c r="E84" s="411"/>
      <c r="F84" s="221"/>
      <c r="G84" s="222"/>
      <c r="H84" s="223" t="s">
        <v>61</v>
      </c>
      <c r="I84" s="224" t="s">
        <v>81</v>
      </c>
      <c r="J84" s="225"/>
      <c r="K84" s="225"/>
      <c r="L84" s="225"/>
      <c r="M84" s="225"/>
      <c r="N84" s="225"/>
      <c r="O84" s="225"/>
      <c r="P84" s="225"/>
      <c r="Q84" s="226"/>
      <c r="R84" s="227"/>
      <c r="S84" s="227"/>
      <c r="T84" s="227"/>
      <c r="U84" s="227"/>
      <c r="V84" s="227"/>
      <c r="W84" s="227"/>
      <c r="X84" s="227"/>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row>
    <row r="85" spans="1:58" s="229" customFormat="1" ht="19.5" thickBot="1" x14ac:dyDescent="0.35">
      <c r="A85" s="85"/>
      <c r="B85" s="85"/>
      <c r="C85" s="86"/>
      <c r="D85" s="87"/>
      <c r="E85" s="87"/>
      <c r="F85" s="230"/>
      <c r="G85" s="222"/>
      <c r="H85" s="225"/>
      <c r="I85" s="225"/>
      <c r="J85" s="222"/>
      <c r="K85" s="222"/>
      <c r="L85" s="222"/>
      <c r="M85" s="222"/>
      <c r="N85" s="222"/>
      <c r="O85" s="222"/>
      <c r="P85" s="222"/>
      <c r="Q85" s="231"/>
      <c r="R85" s="227"/>
      <c r="S85" s="227"/>
      <c r="T85" s="227"/>
      <c r="U85" s="227"/>
      <c r="V85" s="227"/>
      <c r="W85" s="227"/>
      <c r="X85" s="227"/>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row>
    <row r="86" spans="1:58" s="86" customFormat="1" ht="52.5" customHeight="1" thickBot="1" x14ac:dyDescent="0.35">
      <c r="A86" s="383" t="s">
        <v>343</v>
      </c>
      <c r="B86" s="383"/>
      <c r="C86" s="384" t="str">
        <f>IF((D38=G12),"THIS SECTION DOES NOT APPLY TO SALLIE MAE LOANS","YOU TELL US HOW MUCH WOULD YOU LIKE TO BORROW - YOU MAY REDUCE THE FIGURES IN BLUE")</f>
        <v>YOU TELL US HOW MUCH WOULD YOU LIKE TO BORROW - YOU MAY REDUCE THE FIGURES IN BLUE</v>
      </c>
      <c r="D86" s="381"/>
      <c r="E86" s="382"/>
      <c r="F86" s="232"/>
      <c r="G86" s="233" t="s">
        <v>127</v>
      </c>
      <c r="H86" s="234" t="s">
        <v>98</v>
      </c>
      <c r="I86" s="222"/>
      <c r="J86" s="222"/>
      <c r="K86" s="222"/>
      <c r="L86" s="225"/>
      <c r="M86" s="225"/>
      <c r="N86" s="225"/>
      <c r="O86" s="222"/>
      <c r="P86" s="222"/>
      <c r="Q86" s="231"/>
      <c r="R86" s="235"/>
      <c r="S86" s="235"/>
      <c r="T86" s="235"/>
      <c r="U86" s="235"/>
      <c r="V86" s="235"/>
      <c r="W86" s="235"/>
      <c r="X86" s="235"/>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row>
    <row r="87" spans="1:58" s="86" customFormat="1" ht="48" thickBot="1" x14ac:dyDescent="0.3">
      <c r="A87" s="359" t="s">
        <v>127</v>
      </c>
      <c r="B87" s="360" t="s">
        <v>152</v>
      </c>
      <c r="C87" s="361" t="s">
        <v>177</v>
      </c>
      <c r="D87" s="360" t="s">
        <v>306</v>
      </c>
      <c r="E87" s="362" t="s">
        <v>98</v>
      </c>
      <c r="F87" s="237"/>
      <c r="G87" s="238">
        <f>ROUND(K63,0)</f>
        <v>0</v>
      </c>
      <c r="H87" s="239">
        <f>ROUND(((G87*(1-O52))),0)</f>
        <v>0</v>
      </c>
      <c r="I87" s="222"/>
      <c r="J87" s="222"/>
      <c r="K87" s="222"/>
      <c r="L87" s="222"/>
      <c r="M87" s="222"/>
      <c r="N87" s="222"/>
      <c r="O87" s="222"/>
      <c r="P87" s="222"/>
      <c r="Q87" s="231"/>
      <c r="R87" s="235"/>
      <c r="S87" s="235"/>
      <c r="T87" s="235"/>
      <c r="U87" s="235"/>
      <c r="V87" s="235"/>
      <c r="W87" s="235"/>
      <c r="X87" s="235"/>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row>
    <row r="88" spans="1:58" s="86" customFormat="1" ht="15.75" x14ac:dyDescent="0.25">
      <c r="A88" s="412">
        <f>IF((D38=G12),0,G87)</f>
        <v>0</v>
      </c>
      <c r="B88" s="363">
        <f>O52</f>
        <v>1.057E-2</v>
      </c>
      <c r="C88" s="364" t="str">
        <f>C76</f>
        <v>From July 2012 there is no Subsidised Loan for postgraduates</v>
      </c>
      <c r="D88" s="365">
        <v>0</v>
      </c>
      <c r="E88" s="366">
        <f>ROUND(((D88*(1-O52))),0)</f>
        <v>0</v>
      </c>
      <c r="F88" s="237"/>
      <c r="G88" s="238">
        <f>ROUND(L67,0)</f>
        <v>0</v>
      </c>
      <c r="H88" s="239">
        <f>ROUND(((G88*(1-O53))),0)</f>
        <v>0</v>
      </c>
      <c r="I88" s="222"/>
      <c r="J88" s="222"/>
      <c r="K88" s="222"/>
      <c r="L88" s="222"/>
      <c r="M88" s="222"/>
      <c r="N88" s="222"/>
      <c r="O88" s="222"/>
      <c r="P88" s="222"/>
      <c r="Q88" s="231"/>
      <c r="R88" s="235"/>
      <c r="S88" s="235"/>
      <c r="T88" s="235"/>
      <c r="U88" s="235"/>
      <c r="V88" s="235"/>
      <c r="W88" s="235"/>
      <c r="X88" s="235"/>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row>
    <row r="89" spans="1:58" s="86" customFormat="1" ht="15.75" x14ac:dyDescent="0.25">
      <c r="A89" s="413">
        <f>IF((D38=G12),0,G88)</f>
        <v>0</v>
      </c>
      <c r="B89" s="367">
        <f>O53</f>
        <v>1.057E-2</v>
      </c>
      <c r="C89" s="368" t="s">
        <v>36</v>
      </c>
      <c r="D89" s="369">
        <v>0</v>
      </c>
      <c r="E89" s="370">
        <f>ROUND(((D89*(1-O53))),0)</f>
        <v>0</v>
      </c>
      <c r="F89" s="237"/>
      <c r="G89" s="238">
        <f>IF((J78=2),"",(ROUND(K75,0)))</f>
        <v>0</v>
      </c>
      <c r="H89" s="239">
        <f>ROUND(((G89*(1-O54))),0)</f>
        <v>0</v>
      </c>
      <c r="I89" s="222"/>
      <c r="J89" s="222"/>
      <c r="K89" s="222"/>
      <c r="L89" s="222"/>
      <c r="M89" s="222"/>
      <c r="N89" s="222"/>
      <c r="O89" s="222"/>
      <c r="P89" s="222"/>
      <c r="Q89" s="231"/>
      <c r="R89" s="240"/>
      <c r="S89" s="235"/>
      <c r="T89" s="235"/>
      <c r="U89" s="235"/>
      <c r="V89" s="235"/>
      <c r="W89" s="235"/>
      <c r="X89" s="235"/>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row>
    <row r="90" spans="1:58" s="86" customFormat="1" ht="16.5" thickBot="1" x14ac:dyDescent="0.3">
      <c r="A90" s="413">
        <f>IF((D38=G12),0,G89)</f>
        <v>0</v>
      </c>
      <c r="B90" s="367">
        <f>O54</f>
        <v>4.2279999999999998E-2</v>
      </c>
      <c r="C90" s="368" t="str">
        <f>IF((J78=2),K78,"PLUS Loan (Adjusted up to include all fees)")</f>
        <v>PLUS Loan (Adjusted up to include all fees)</v>
      </c>
      <c r="D90" s="369">
        <v>0</v>
      </c>
      <c r="E90" s="370">
        <f>ROUND(((D90*(1-O54))),0)</f>
        <v>0</v>
      </c>
      <c r="F90" s="230"/>
      <c r="G90" s="241">
        <f>SUM(G87:G89)</f>
        <v>0</v>
      </c>
      <c r="H90" s="242">
        <f>SUM(H87:H89)</f>
        <v>0</v>
      </c>
      <c r="I90" s="222"/>
      <c r="J90" s="222"/>
      <c r="K90" s="222"/>
      <c r="L90" s="222"/>
      <c r="M90" s="222"/>
      <c r="N90" s="222"/>
      <c r="O90" s="222"/>
      <c r="P90" s="243"/>
      <c r="Q90" s="244"/>
      <c r="R90" s="235"/>
      <c r="S90" s="235"/>
      <c r="T90" s="235"/>
      <c r="U90" s="235"/>
      <c r="V90" s="235"/>
      <c r="W90" s="235"/>
      <c r="X90" s="235"/>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row>
    <row r="91" spans="1:58" s="86" customFormat="1" ht="20.25" thickTop="1" thickBot="1" x14ac:dyDescent="0.35">
      <c r="A91" s="414">
        <f>IF((D38=G12),0,G90)</f>
        <v>0</v>
      </c>
      <c r="B91" s="371"/>
      <c r="C91" s="372" t="s">
        <v>150</v>
      </c>
      <c r="D91" s="373">
        <f>SUM(D88:D90)</f>
        <v>0</v>
      </c>
      <c r="E91" s="374">
        <f>SUM(E88:E90)</f>
        <v>0</v>
      </c>
      <c r="F91" s="245"/>
      <c r="G91" s="222"/>
      <c r="H91" s="223" t="s">
        <v>82</v>
      </c>
      <c r="I91" s="246" t="s">
        <v>84</v>
      </c>
      <c r="J91" s="222"/>
      <c r="K91" s="222"/>
      <c r="L91" s="222"/>
      <c r="M91" s="222"/>
      <c r="N91" s="222"/>
      <c r="O91" s="222"/>
      <c r="P91" s="222"/>
      <c r="Q91" s="247"/>
      <c r="R91" s="235"/>
      <c r="S91" s="235"/>
      <c r="T91" s="235"/>
      <c r="U91" s="235"/>
      <c r="V91" s="235"/>
      <c r="W91" s="235"/>
      <c r="X91" s="235"/>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row>
    <row r="92" spans="1:58" s="86" customFormat="1" ht="18.75" x14ac:dyDescent="0.3">
      <c r="A92" s="388" t="s">
        <v>347</v>
      </c>
      <c r="B92" s="389"/>
      <c r="C92" s="390" t="str">
        <f>IF((D91&lt;(H5*1.04)),I91,I93)</f>
        <v>We will check everything you have provided with the USDE data and regulations</v>
      </c>
      <c r="D92" s="391"/>
      <c r="E92" s="392"/>
      <c r="F92" s="245"/>
      <c r="G92" s="222"/>
      <c r="H92" s="223" t="s">
        <v>83</v>
      </c>
      <c r="I92" s="246" t="s">
        <v>96</v>
      </c>
      <c r="J92" s="222"/>
      <c r="K92" s="222"/>
      <c r="L92" s="222"/>
      <c r="M92" s="222"/>
      <c r="N92" s="222"/>
      <c r="O92" s="222"/>
      <c r="P92" s="222"/>
      <c r="Q92" s="231"/>
      <c r="R92" s="235"/>
      <c r="S92" s="235"/>
      <c r="T92" s="235"/>
      <c r="U92" s="235"/>
      <c r="V92" s="235"/>
      <c r="W92" s="235"/>
      <c r="X92" s="235"/>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row>
    <row r="93" spans="1:58" s="86" customFormat="1" ht="19.5" thickBot="1" x14ac:dyDescent="0.35">
      <c r="A93" s="393"/>
      <c r="B93" s="394"/>
      <c r="C93" s="395" t="str">
        <f>IF((D91&lt;(H5*1.04)),I92,I94)</f>
        <v>If everything is correct we will originate your loans and issue a certificate for visa application</v>
      </c>
      <c r="D93" s="396"/>
      <c r="E93" s="397"/>
      <c r="F93" s="245"/>
      <c r="G93" s="222"/>
      <c r="H93" s="223" t="s">
        <v>62</v>
      </c>
      <c r="I93" s="248" t="s">
        <v>85</v>
      </c>
      <c r="J93" s="222"/>
      <c r="K93" s="222"/>
      <c r="L93" s="222"/>
      <c r="M93" s="222"/>
      <c r="N93" s="222"/>
      <c r="O93" s="222"/>
      <c r="P93" s="222"/>
      <c r="Q93" s="231"/>
      <c r="R93" s="235"/>
      <c r="S93" s="235"/>
      <c r="T93" s="235"/>
      <c r="U93" s="235"/>
      <c r="V93" s="235"/>
      <c r="W93" s="235"/>
      <c r="X93" s="235"/>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row>
    <row r="94" spans="1:58" s="86" customFormat="1" ht="16.5" thickBot="1" x14ac:dyDescent="0.3">
      <c r="A94" s="353"/>
      <c r="B94" s="354"/>
      <c r="C94" s="355"/>
      <c r="D94" s="352"/>
      <c r="E94" s="352"/>
      <c r="F94" s="245"/>
      <c r="G94" s="222"/>
      <c r="H94" s="223" t="s">
        <v>63</v>
      </c>
      <c r="I94" s="222"/>
      <c r="J94" s="222"/>
      <c r="K94" s="222"/>
      <c r="L94" s="222"/>
      <c r="M94" s="222"/>
      <c r="N94" s="222"/>
      <c r="O94" s="222"/>
      <c r="P94" s="222"/>
      <c r="Q94" s="231"/>
      <c r="R94" s="235"/>
      <c r="S94" s="235"/>
      <c r="T94" s="235"/>
      <c r="U94" s="235"/>
      <c r="V94" s="235"/>
      <c r="W94" s="235"/>
      <c r="X94" s="235"/>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row>
    <row r="95" spans="1:58" s="86" customFormat="1" ht="36.75" thickBot="1" x14ac:dyDescent="0.3">
      <c r="A95" s="398" t="s">
        <v>348</v>
      </c>
      <c r="B95" s="356">
        <f>B88</f>
        <v>1.057E-2</v>
      </c>
      <c r="C95" s="357" t="str">
        <f>C88&amp;" Origination Fee of "&amp;L52&amp;"% less Interest Rebate of "&amp;M52&amp;"%"</f>
        <v>From July 2012 there is no Subsidised Loan for postgraduates Origination Fee of 1.057% less Interest Rebate of 0%</v>
      </c>
      <c r="D95" s="352"/>
      <c r="E95" s="358"/>
      <c r="F95" s="245"/>
      <c r="G95" s="222"/>
      <c r="H95" s="222"/>
      <c r="I95" s="222"/>
      <c r="J95" s="222"/>
      <c r="K95" s="222"/>
      <c r="L95" s="222"/>
      <c r="M95" s="222"/>
      <c r="N95" s="222"/>
      <c r="O95" s="222"/>
      <c r="P95" s="222"/>
      <c r="Q95" s="231"/>
      <c r="R95" s="235"/>
      <c r="S95" s="235"/>
      <c r="T95" s="235"/>
      <c r="U95" s="235"/>
      <c r="V95" s="235"/>
      <c r="W95" s="235"/>
      <c r="X95" s="235"/>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row>
    <row r="96" spans="1:58" s="86" customFormat="1" ht="15" x14ac:dyDescent="0.2">
      <c r="A96" s="353"/>
      <c r="B96" s="356">
        <f>B89</f>
        <v>1.057E-2</v>
      </c>
      <c r="C96" s="357" t="str">
        <f>C89&amp;" Origination Fee of "&amp;L53&amp;"% less Interest Rebate of "&amp;M53&amp;"%"</f>
        <v>Unsubsudised Origination Fee of 1.057% less Interest Rebate of 0%</v>
      </c>
      <c r="D96" s="352"/>
      <c r="E96" s="352"/>
      <c r="F96" s="245"/>
      <c r="G96" s="222"/>
      <c r="H96" s="222"/>
      <c r="I96" s="222"/>
      <c r="J96" s="222"/>
      <c r="K96" s="222"/>
      <c r="L96" s="222"/>
      <c r="M96" s="222"/>
      <c r="N96" s="222"/>
      <c r="O96" s="222"/>
      <c r="P96" s="222"/>
      <c r="Q96" s="231"/>
      <c r="R96" s="235"/>
      <c r="S96" s="235"/>
      <c r="T96" s="235"/>
      <c r="U96" s="235"/>
      <c r="V96" s="235"/>
      <c r="W96" s="235"/>
      <c r="X96" s="235"/>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row>
    <row r="97" spans="1:58" s="86" customFormat="1" ht="15" x14ac:dyDescent="0.2">
      <c r="A97" s="354"/>
      <c r="B97" s="356">
        <v>4.2279999999999998E-2</v>
      </c>
      <c r="C97" s="357" t="str">
        <f>C90&amp;" Origination Fee of "&amp;L54&amp;"% less Interest Rebate of "&amp;M54&amp;"%"</f>
        <v>PLUS Loan (Adjusted up to include all fees) Origination Fee of 4.228% less Interest Rebate of 0%</v>
      </c>
      <c r="D97" s="352"/>
      <c r="E97" s="352"/>
      <c r="F97" s="245"/>
      <c r="G97" s="222"/>
      <c r="H97" s="222"/>
      <c r="I97" s="222"/>
      <c r="J97" s="222"/>
      <c r="K97" s="222"/>
      <c r="L97" s="222"/>
      <c r="M97" s="222"/>
      <c r="N97" s="222"/>
      <c r="O97" s="222"/>
      <c r="P97" s="222"/>
      <c r="Q97" s="231"/>
      <c r="R97" s="235"/>
      <c r="S97" s="235"/>
      <c r="T97" s="235"/>
      <c r="U97" s="235"/>
      <c r="V97" s="235"/>
      <c r="W97" s="235"/>
      <c r="X97" s="235"/>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row>
    <row r="98" spans="1:58" s="86" customFormat="1" ht="15.75" x14ac:dyDescent="0.25">
      <c r="A98" s="354"/>
      <c r="B98" s="350"/>
      <c r="C98" s="351"/>
      <c r="D98" s="352"/>
      <c r="E98" s="352"/>
      <c r="F98" s="245"/>
      <c r="G98" s="222"/>
      <c r="H98" s="222"/>
      <c r="I98" s="222"/>
      <c r="J98" s="222"/>
      <c r="K98" s="222"/>
      <c r="L98" s="222"/>
      <c r="M98" s="222"/>
      <c r="N98" s="222"/>
      <c r="O98" s="222"/>
      <c r="P98" s="222"/>
      <c r="Q98" s="231"/>
      <c r="R98" s="235"/>
      <c r="S98" s="235"/>
      <c r="T98" s="235"/>
      <c r="U98" s="235"/>
      <c r="V98" s="235"/>
      <c r="W98" s="235"/>
      <c r="X98" s="235"/>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row>
    <row r="99" spans="1:58" ht="15.75" x14ac:dyDescent="0.25">
      <c r="A99" s="354"/>
      <c r="B99" s="354"/>
      <c r="C99" s="351"/>
      <c r="D99" s="352"/>
      <c r="E99" s="352"/>
    </row>
    <row r="100" spans="1:58" x14ac:dyDescent="0.2">
      <c r="A100" s="269"/>
      <c r="B100" s="269"/>
      <c r="C100" s="146"/>
      <c r="D100" s="81"/>
      <c r="E100" s="81"/>
    </row>
    <row r="101" spans="1:58" x14ac:dyDescent="0.2">
      <c r="A101" s="270"/>
      <c r="B101" s="269"/>
      <c r="C101" s="146"/>
      <c r="D101" s="81"/>
      <c r="E101" s="81"/>
    </row>
    <row r="102" spans="1:58" x14ac:dyDescent="0.2">
      <c r="A102" s="270"/>
      <c r="B102" s="269"/>
      <c r="C102" s="146"/>
      <c r="D102" s="81"/>
      <c r="E102" s="81"/>
    </row>
    <row r="103" spans="1:58" x14ac:dyDescent="0.2">
      <c r="A103" s="269"/>
      <c r="B103" s="269"/>
      <c r="C103" s="146"/>
      <c r="D103" s="81"/>
      <c r="E103" s="81"/>
    </row>
    <row r="104" spans="1:58" x14ac:dyDescent="0.2">
      <c r="A104" s="269"/>
      <c r="B104" s="269"/>
      <c r="C104" s="146"/>
      <c r="D104" s="81"/>
      <c r="E104" s="81"/>
    </row>
    <row r="105" spans="1:58" x14ac:dyDescent="0.2">
      <c r="A105" s="269"/>
      <c r="B105" s="269"/>
      <c r="C105" s="146"/>
      <c r="D105" s="81"/>
      <c r="E105" s="81"/>
    </row>
    <row r="106" spans="1:58" x14ac:dyDescent="0.2">
      <c r="A106" s="269"/>
      <c r="B106" s="269"/>
      <c r="C106" s="146"/>
      <c r="D106" s="81"/>
      <c r="E106" s="81"/>
    </row>
    <row r="107" spans="1:58" x14ac:dyDescent="0.2">
      <c r="A107" s="269"/>
      <c r="B107" s="269"/>
      <c r="C107" s="146"/>
      <c r="D107" s="81"/>
      <c r="E107" s="81"/>
    </row>
    <row r="108" spans="1:58" x14ac:dyDescent="0.2">
      <c r="A108" s="269"/>
      <c r="B108" s="269"/>
      <c r="C108" s="146"/>
      <c r="D108" s="81"/>
      <c r="E108" s="81"/>
    </row>
    <row r="109" spans="1:58" x14ac:dyDescent="0.2">
      <c r="A109" s="269"/>
      <c r="B109" s="269"/>
      <c r="C109" s="146"/>
      <c r="D109" s="81"/>
      <c r="E109" s="81"/>
    </row>
    <row r="110" spans="1:58" x14ac:dyDescent="0.2">
      <c r="A110" s="269"/>
      <c r="B110" s="269"/>
      <c r="C110" s="146"/>
      <c r="D110" s="81"/>
      <c r="E110" s="81"/>
    </row>
    <row r="111" spans="1:58" x14ac:dyDescent="0.2">
      <c r="A111" s="269"/>
      <c r="B111" s="269"/>
      <c r="C111" s="146"/>
      <c r="D111" s="81"/>
      <c r="E111" s="81"/>
    </row>
    <row r="112" spans="1:58" x14ac:dyDescent="0.2">
      <c r="A112" s="269"/>
      <c r="B112" s="269"/>
      <c r="C112" s="146"/>
      <c r="D112" s="81"/>
      <c r="E112" s="81"/>
    </row>
    <row r="113" spans="1:5" x14ac:dyDescent="0.2">
      <c r="A113" s="269"/>
      <c r="B113" s="269"/>
      <c r="C113" s="146"/>
      <c r="D113" s="81"/>
      <c r="E113" s="81"/>
    </row>
    <row r="114" spans="1:5" x14ac:dyDescent="0.2">
      <c r="A114" s="269"/>
      <c r="B114" s="269"/>
      <c r="C114" s="146"/>
      <c r="D114" s="81"/>
      <c r="E114" s="81"/>
    </row>
    <row r="115" spans="1:5" x14ac:dyDescent="0.2">
      <c r="A115" s="269"/>
      <c r="B115" s="269"/>
      <c r="C115" s="146"/>
      <c r="D115" s="81"/>
      <c r="E115" s="81"/>
    </row>
    <row r="116" spans="1:5" x14ac:dyDescent="0.2">
      <c r="A116" s="269"/>
      <c r="B116" s="269"/>
      <c r="C116" s="146"/>
      <c r="D116" s="81"/>
      <c r="E116" s="81"/>
    </row>
    <row r="117" spans="1:5" x14ac:dyDescent="0.2">
      <c r="A117" s="269"/>
      <c r="B117" s="269"/>
      <c r="C117" s="146"/>
      <c r="D117" s="81"/>
      <c r="E117" s="81"/>
    </row>
    <row r="118" spans="1:5" x14ac:dyDescent="0.2">
      <c r="A118" s="269"/>
      <c r="B118" s="269"/>
      <c r="C118" s="146"/>
      <c r="D118" s="81"/>
      <c r="E118" s="81"/>
    </row>
    <row r="119" spans="1:5" x14ac:dyDescent="0.2">
      <c r="A119" s="269"/>
      <c r="B119" s="269"/>
      <c r="C119" s="146"/>
      <c r="D119" s="81"/>
      <c r="E119" s="81"/>
    </row>
    <row r="120" spans="1:5" x14ac:dyDescent="0.2">
      <c r="A120" s="269"/>
      <c r="B120" s="269"/>
      <c r="C120" s="146"/>
      <c r="D120" s="81"/>
      <c r="E120" s="81"/>
    </row>
    <row r="121" spans="1:5" x14ac:dyDescent="0.2">
      <c r="A121" s="269"/>
      <c r="B121" s="269"/>
      <c r="C121" s="146"/>
      <c r="D121" s="81"/>
      <c r="E121" s="81"/>
    </row>
    <row r="122" spans="1:5" x14ac:dyDescent="0.2">
      <c r="A122" s="269"/>
      <c r="B122" s="269"/>
      <c r="C122" s="146"/>
      <c r="D122" s="81"/>
      <c r="E122" s="81"/>
    </row>
    <row r="123" spans="1:5" x14ac:dyDescent="0.2">
      <c r="A123" s="269"/>
      <c r="B123" s="269"/>
      <c r="C123" s="146"/>
      <c r="D123" s="81"/>
      <c r="E123" s="81"/>
    </row>
    <row r="124" spans="1:5" x14ac:dyDescent="0.2">
      <c r="A124" s="269"/>
      <c r="B124" s="269"/>
      <c r="C124" s="146"/>
      <c r="D124" s="81"/>
      <c r="E124" s="81"/>
    </row>
    <row r="125" spans="1:5" x14ac:dyDescent="0.2">
      <c r="A125" s="269"/>
      <c r="B125" s="269"/>
      <c r="C125" s="146"/>
      <c r="D125" s="81"/>
      <c r="E125" s="81"/>
    </row>
    <row r="126" spans="1:5" x14ac:dyDescent="0.2">
      <c r="A126" s="269"/>
      <c r="B126" s="269"/>
      <c r="C126" s="146"/>
      <c r="D126" s="81"/>
    </row>
  </sheetData>
  <sheetProtection algorithmName="SHA-512" hashValue="PHAJrIHrLrbxud+f9hTD86D2j59AxUQhYuy3KgQHpxxlUdlJK5Q+DPVVCwmNP+Kl36OR1uLE2PgcmjXG04iXYA==" saltValue="ZJL3srHU00pfQwf+7BL7NQ==" spinCount="100000" sheet="1" selectLockedCells="1"/>
  <mergeCells count="16">
    <mergeCell ref="C12:D12"/>
    <mergeCell ref="B59:E59"/>
    <mergeCell ref="E49:E50"/>
    <mergeCell ref="D49:D50"/>
    <mergeCell ref="C20:E20"/>
    <mergeCell ref="C21:E21"/>
    <mergeCell ref="C22:E22"/>
    <mergeCell ref="C23:E23"/>
    <mergeCell ref="C24:E24"/>
    <mergeCell ref="C25:E25"/>
    <mergeCell ref="C14:E14"/>
    <mergeCell ref="C15:E15"/>
    <mergeCell ref="C16:E16"/>
    <mergeCell ref="C17:E17"/>
    <mergeCell ref="C18:E18"/>
    <mergeCell ref="C19:E19"/>
  </mergeCells>
  <phoneticPr fontId="3" type="noConversion"/>
  <conditionalFormatting sqref="D28:D30 C28:C29">
    <cfRule type="cellIs" dxfId="3" priority="1" stopIfTrue="1" operator="equal">
      <formula>"Do not adjust this line"</formula>
    </cfRule>
  </conditionalFormatting>
  <dataValidations count="5">
    <dataValidation type="list" allowBlank="1" showInputMessage="1" showErrorMessage="1" sqref="D31">
      <formula1>$G$9:$G$10</formula1>
    </dataValidation>
    <dataValidation type="list" allowBlank="1" showInputMessage="1" showErrorMessage="1" sqref="D38">
      <formula1>$G$12:$G$13</formula1>
    </dataValidation>
    <dataValidation type="list" allowBlank="1" showInputMessage="1" showErrorMessage="1" sqref="D30">
      <formula1>$I$9:$I$11</formula1>
    </dataValidation>
    <dataValidation type="list" allowBlank="1" showInputMessage="1" showErrorMessage="1" sqref="D27:D29">
      <formula1>$H$9:$H$10</formula1>
    </dataValidation>
    <dataValidation type="list" allowBlank="1" showInputMessage="1" showErrorMessage="1" sqref="F29 E30">
      <formula1>$I$9:$I$23</formula1>
    </dataValidation>
  </dataValidations>
  <printOptions horizontalCentered="1" verticalCentered="1"/>
  <pageMargins left="0.31496062992125984" right="0.19685039370078741" top="0.19685039370078741" bottom="0.39370078740157483" header="0" footer="0"/>
  <pageSetup paperSize="9" scale="47" orientation="portrait"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K57"/>
  <sheetViews>
    <sheetView topLeftCell="A38" zoomScale="110" zoomScaleNormal="110" workbookViewId="0">
      <selection activeCell="I7" sqref="I7"/>
    </sheetView>
  </sheetViews>
  <sheetFormatPr defaultRowHeight="12.75" x14ac:dyDescent="0.2"/>
  <cols>
    <col min="1" max="1" width="9.140625" style="40"/>
    <col min="2" max="2" width="32.140625" style="3" customWidth="1"/>
    <col min="3" max="3" width="38.140625" style="3" bestFit="1" customWidth="1"/>
    <col min="4" max="4" width="16.28515625" style="3" customWidth="1"/>
    <col min="5" max="5" width="14" style="3" customWidth="1"/>
    <col min="6" max="6" width="5.140625" style="8" customWidth="1"/>
    <col min="7" max="7" width="72.7109375" style="3" customWidth="1"/>
    <col min="8" max="8" width="14.28515625" style="3" customWidth="1"/>
    <col min="9" max="9" width="19.5703125" style="3" customWidth="1"/>
    <col min="10" max="10" width="14.28515625" style="3" customWidth="1"/>
    <col min="11" max="16384" width="9.140625" style="3"/>
  </cols>
  <sheetData>
    <row r="1" spans="1:11" s="45" customFormat="1" ht="20.25" x14ac:dyDescent="0.3">
      <c r="A1" s="46"/>
      <c r="B1" s="44" t="s">
        <v>270</v>
      </c>
      <c r="C1" s="44"/>
      <c r="D1" s="44" t="s">
        <v>281</v>
      </c>
      <c r="E1" s="44"/>
      <c r="F1" s="49"/>
      <c r="G1" s="44"/>
      <c r="H1" s="44"/>
      <c r="I1" s="44"/>
      <c r="J1" s="44"/>
    </row>
    <row r="2" spans="1:11" s="5" customFormat="1" ht="15.75" x14ac:dyDescent="0.25">
      <c r="A2" s="47"/>
      <c r="D2" s="4" t="s">
        <v>282</v>
      </c>
      <c r="E2" s="4"/>
      <c r="F2" s="50"/>
      <c r="G2" s="4"/>
      <c r="H2" s="4"/>
      <c r="I2" s="4"/>
      <c r="J2" s="4"/>
    </row>
    <row r="3" spans="1:11" s="13" customFormat="1" ht="15.75" x14ac:dyDescent="0.25">
      <c r="A3" s="48"/>
      <c r="D3" s="13" t="s">
        <v>232</v>
      </c>
      <c r="F3" s="48"/>
      <c r="G3" s="14"/>
      <c r="H3" s="13" t="s">
        <v>233</v>
      </c>
    </row>
    <row r="4" spans="1:11" s="13" customFormat="1" ht="15.75" x14ac:dyDescent="0.25">
      <c r="A4" s="48"/>
      <c r="F4" s="48"/>
    </row>
    <row r="5" spans="1:11" x14ac:dyDescent="0.2">
      <c r="D5" s="42" t="s">
        <v>286</v>
      </c>
      <c r="E5" s="43"/>
      <c r="H5" s="42" t="s">
        <v>287</v>
      </c>
      <c r="I5" s="43"/>
      <c r="J5" s="42"/>
      <c r="K5" s="54"/>
    </row>
    <row r="6" spans="1:11" s="2" customFormat="1" x14ac:dyDescent="0.2">
      <c r="A6" s="40">
        <v>1</v>
      </c>
      <c r="B6" s="2" t="s">
        <v>197</v>
      </c>
      <c r="C6" s="6" t="s">
        <v>220</v>
      </c>
      <c r="D6" s="37" t="s">
        <v>369</v>
      </c>
      <c r="F6" s="40">
        <v>6</v>
      </c>
      <c r="G6" s="2" t="s">
        <v>218</v>
      </c>
      <c r="H6" s="3"/>
    </row>
    <row r="7" spans="1:11" x14ac:dyDescent="0.2">
      <c r="C7" s="6" t="s">
        <v>198</v>
      </c>
      <c r="D7" s="33">
        <v>45565</v>
      </c>
      <c r="E7" s="15">
        <f>D7+363</f>
        <v>45928</v>
      </c>
      <c r="G7" s="3" t="s">
        <v>312</v>
      </c>
      <c r="H7" s="32">
        <v>31440</v>
      </c>
      <c r="I7" s="16"/>
      <c r="J7" s="17">
        <f>H7</f>
        <v>31440</v>
      </c>
    </row>
    <row r="8" spans="1:11" x14ac:dyDescent="0.2">
      <c r="C8" s="6" t="s">
        <v>258</v>
      </c>
      <c r="D8" s="33">
        <v>45406</v>
      </c>
      <c r="H8" s="18"/>
      <c r="I8" s="16"/>
      <c r="J8" s="16"/>
    </row>
    <row r="9" spans="1:11" s="2" customFormat="1" x14ac:dyDescent="0.2">
      <c r="A9" s="40"/>
      <c r="B9" s="2" t="s">
        <v>200</v>
      </c>
      <c r="D9" s="9"/>
      <c r="F9" s="40">
        <v>7</v>
      </c>
      <c r="G9" s="2" t="s">
        <v>221</v>
      </c>
      <c r="H9" s="42" t="s">
        <v>289</v>
      </c>
      <c r="I9" s="43"/>
      <c r="J9" s="42"/>
    </row>
    <row r="10" spans="1:11" s="2" customFormat="1" x14ac:dyDescent="0.2">
      <c r="A10" s="40"/>
      <c r="B10" s="3" t="s">
        <v>199</v>
      </c>
      <c r="D10" s="33">
        <v>45565</v>
      </c>
      <c r="E10" s="20" t="s">
        <v>229</v>
      </c>
      <c r="F10" s="40"/>
      <c r="G10" s="3" t="s">
        <v>222</v>
      </c>
      <c r="H10" s="32">
        <v>469</v>
      </c>
      <c r="I10" s="21"/>
      <c r="J10" s="19"/>
    </row>
    <row r="11" spans="1:11" s="2" customFormat="1" x14ac:dyDescent="0.2">
      <c r="A11" s="40"/>
      <c r="B11" s="3" t="s">
        <v>234</v>
      </c>
      <c r="D11" s="33">
        <v>45868</v>
      </c>
      <c r="E11" s="22">
        <f>ROUND(((MAX(D11:D12)-D10)/7),0)</f>
        <v>43</v>
      </c>
      <c r="F11" s="40"/>
      <c r="G11" s="3" t="s">
        <v>227</v>
      </c>
      <c r="H11" s="32">
        <v>350</v>
      </c>
      <c r="I11" s="17">
        <f>MAX(H10:H11)</f>
        <v>469</v>
      </c>
      <c r="J11" s="19"/>
    </row>
    <row r="12" spans="1:11" s="2" customFormat="1" x14ac:dyDescent="0.2">
      <c r="A12" s="40"/>
      <c r="B12" s="10" t="s">
        <v>235</v>
      </c>
      <c r="C12" s="3" t="s">
        <v>236</v>
      </c>
      <c r="D12" s="33"/>
      <c r="E12" s="20" t="s">
        <v>248</v>
      </c>
      <c r="F12" s="40"/>
      <c r="G12" s="3" t="s">
        <v>268</v>
      </c>
      <c r="H12" s="32">
        <v>70</v>
      </c>
      <c r="I12" s="19"/>
      <c r="J12" s="19"/>
    </row>
    <row r="13" spans="1:11" s="6" customFormat="1" x14ac:dyDescent="0.2">
      <c r="A13" s="40"/>
      <c r="D13" s="7"/>
      <c r="E13" s="20">
        <v>52</v>
      </c>
      <c r="F13" s="40"/>
      <c r="G13" s="3" t="s">
        <v>246</v>
      </c>
      <c r="H13" s="32">
        <v>70</v>
      </c>
      <c r="I13" s="23"/>
      <c r="J13" s="23"/>
    </row>
    <row r="14" spans="1:11" x14ac:dyDescent="0.2">
      <c r="A14" s="40">
        <v>2</v>
      </c>
      <c r="B14" s="2" t="s">
        <v>201</v>
      </c>
      <c r="C14" s="6"/>
      <c r="D14" s="9"/>
      <c r="G14" s="3" t="s">
        <v>225</v>
      </c>
      <c r="H14" s="32">
        <v>20</v>
      </c>
      <c r="I14" s="16"/>
      <c r="J14" s="16"/>
    </row>
    <row r="15" spans="1:11" x14ac:dyDescent="0.2">
      <c r="B15" s="2" t="s">
        <v>228</v>
      </c>
      <c r="D15" s="9"/>
      <c r="G15" s="3" t="s">
        <v>226</v>
      </c>
      <c r="H15" s="32">
        <v>50</v>
      </c>
      <c r="I15" s="16"/>
      <c r="J15" s="16"/>
    </row>
    <row r="16" spans="1:11" x14ac:dyDescent="0.2">
      <c r="B16" s="6" t="s">
        <v>202</v>
      </c>
      <c r="D16" s="9"/>
      <c r="G16" s="3" t="s">
        <v>363</v>
      </c>
      <c r="H16" s="32">
        <v>70</v>
      </c>
      <c r="I16" s="17">
        <f>SUM(H12:H16)</f>
        <v>280</v>
      </c>
      <c r="J16" s="17">
        <f>(SUM(I11:I16))*E13</f>
        <v>38948</v>
      </c>
    </row>
    <row r="17" spans="1:11" x14ac:dyDescent="0.2">
      <c r="B17" s="6" t="s">
        <v>269</v>
      </c>
      <c r="D17" s="42" t="s">
        <v>302</v>
      </c>
      <c r="E17" s="43"/>
      <c r="H17" s="9"/>
      <c r="I17" s="16"/>
      <c r="J17" s="16"/>
    </row>
    <row r="18" spans="1:11" x14ac:dyDescent="0.2">
      <c r="B18" s="3" t="s">
        <v>203</v>
      </c>
      <c r="D18" s="33">
        <v>45565</v>
      </c>
      <c r="E18" s="15">
        <f>D19-1</f>
        <v>45676</v>
      </c>
      <c r="F18" s="8">
        <v>8</v>
      </c>
      <c r="G18" s="2" t="s">
        <v>231</v>
      </c>
      <c r="H18" s="9"/>
      <c r="I18" s="16"/>
      <c r="J18" s="16"/>
    </row>
    <row r="19" spans="1:11" x14ac:dyDescent="0.2">
      <c r="B19" s="3" t="s">
        <v>205</v>
      </c>
      <c r="D19" s="33">
        <v>45677</v>
      </c>
      <c r="E19" s="15">
        <f>IF((D20&gt;0),(D20-1),(MAX(D10:D11)))</f>
        <v>45782</v>
      </c>
      <c r="G19" s="3" t="s">
        <v>322</v>
      </c>
      <c r="H19" s="32">
        <v>1450</v>
      </c>
      <c r="I19" s="24"/>
      <c r="J19" s="17">
        <f>H19*2</f>
        <v>2900</v>
      </c>
    </row>
    <row r="20" spans="1:11" x14ac:dyDescent="0.2">
      <c r="B20" s="3" t="s">
        <v>204</v>
      </c>
      <c r="D20" s="33">
        <v>45783</v>
      </c>
      <c r="E20" s="15">
        <f>IF((D21&gt;0),(D21-1),(MAX(D11:D12)))</f>
        <v>45868</v>
      </c>
      <c r="G20" s="3" t="s">
        <v>323</v>
      </c>
      <c r="H20" s="32">
        <v>500</v>
      </c>
      <c r="I20" s="24"/>
      <c r="J20" s="16"/>
    </row>
    <row r="21" spans="1:11" x14ac:dyDescent="0.2">
      <c r="B21" s="3" t="s">
        <v>206</v>
      </c>
      <c r="D21" s="33"/>
      <c r="E21" s="15">
        <f>IF((D22&gt;0),(D22-1),(MAX(D11:D12)))</f>
        <v>45868</v>
      </c>
      <c r="G21" s="3" t="s">
        <v>364</v>
      </c>
      <c r="H21" s="32">
        <v>1200</v>
      </c>
      <c r="I21" s="24"/>
      <c r="J21" s="16"/>
    </row>
    <row r="22" spans="1:11" x14ac:dyDescent="0.2">
      <c r="E22" s="15">
        <f>E18</f>
        <v>45676</v>
      </c>
      <c r="F22" s="51" t="s">
        <v>271</v>
      </c>
      <c r="G22" s="34" t="s">
        <v>324</v>
      </c>
      <c r="H22" s="32">
        <v>472</v>
      </c>
      <c r="I22" s="24"/>
      <c r="J22" s="16"/>
    </row>
    <row r="23" spans="1:11" x14ac:dyDescent="0.2">
      <c r="A23" s="40">
        <v>3</v>
      </c>
      <c r="B23" s="2" t="s">
        <v>242</v>
      </c>
      <c r="D23" s="9"/>
      <c r="E23" s="15">
        <f>IF((D20&gt;1),(D20-1),E7)</f>
        <v>45782</v>
      </c>
      <c r="F23" s="51" t="s">
        <v>272</v>
      </c>
      <c r="G23" s="34" t="s">
        <v>3</v>
      </c>
      <c r="H23" s="32">
        <v>0</v>
      </c>
      <c r="I23" s="24"/>
      <c r="J23" s="16"/>
    </row>
    <row r="24" spans="1:11" x14ac:dyDescent="0.2">
      <c r="C24" s="6" t="s">
        <v>223</v>
      </c>
      <c r="D24" s="9"/>
      <c r="E24" s="15">
        <f>IF((D21&gt;1),(D21-1),E7)</f>
        <v>45928</v>
      </c>
      <c r="F24" s="51" t="s">
        <v>273</v>
      </c>
      <c r="G24" s="34" t="s">
        <v>3</v>
      </c>
      <c r="H24" s="32">
        <v>0</v>
      </c>
      <c r="I24" s="24"/>
      <c r="J24" s="16"/>
    </row>
    <row r="25" spans="1:11" x14ac:dyDescent="0.2">
      <c r="C25" s="6" t="s">
        <v>224</v>
      </c>
      <c r="D25" s="9"/>
      <c r="E25" s="15">
        <f>IF((D22&gt;1),(D22-1),E7)</f>
        <v>45928</v>
      </c>
      <c r="F25" s="51" t="s">
        <v>274</v>
      </c>
      <c r="G25" s="34" t="s">
        <v>3</v>
      </c>
      <c r="H25" s="32">
        <v>0</v>
      </c>
      <c r="I25" s="16"/>
      <c r="J25" s="17">
        <f>SUM(H20:H25)</f>
        <v>2172</v>
      </c>
    </row>
    <row r="26" spans="1:11" x14ac:dyDescent="0.2">
      <c r="C26" s="11" t="s">
        <v>209</v>
      </c>
      <c r="D26" s="35" t="s">
        <v>328</v>
      </c>
    </row>
    <row r="27" spans="1:11" x14ac:dyDescent="0.2">
      <c r="C27" s="11" t="s">
        <v>210</v>
      </c>
      <c r="D27" s="35" t="s">
        <v>330</v>
      </c>
    </row>
    <row r="28" spans="1:11" x14ac:dyDescent="0.2">
      <c r="C28" s="11" t="s">
        <v>211</v>
      </c>
      <c r="D28" s="35" t="s">
        <v>326</v>
      </c>
      <c r="F28" s="8">
        <v>9</v>
      </c>
      <c r="G28" s="2" t="s">
        <v>290</v>
      </c>
      <c r="H28" s="2"/>
      <c r="I28" s="42" t="s">
        <v>288</v>
      </c>
      <c r="J28" s="43"/>
      <c r="K28" s="54"/>
    </row>
    <row r="29" spans="1:11" x14ac:dyDescent="0.2">
      <c r="C29" s="11" t="s">
        <v>212</v>
      </c>
      <c r="D29" s="35" t="s">
        <v>332</v>
      </c>
      <c r="G29" s="6" t="s">
        <v>207</v>
      </c>
      <c r="H29" s="6" t="s">
        <v>208</v>
      </c>
      <c r="I29" s="53">
        <v>45406</v>
      </c>
      <c r="J29" s="3" t="s">
        <v>329</v>
      </c>
    </row>
    <row r="30" spans="1:11" x14ac:dyDescent="0.2">
      <c r="C30" s="11" t="s">
        <v>213</v>
      </c>
      <c r="D30" s="35" t="s">
        <v>368</v>
      </c>
      <c r="G30" s="6" t="s">
        <v>244</v>
      </c>
      <c r="H30" s="6" t="s">
        <v>208</v>
      </c>
      <c r="I30" s="53">
        <v>45627</v>
      </c>
    </row>
    <row r="31" spans="1:11" x14ac:dyDescent="0.2">
      <c r="C31" s="11" t="s">
        <v>214</v>
      </c>
      <c r="D31" s="35" t="s">
        <v>365</v>
      </c>
      <c r="G31" s="6" t="s">
        <v>217</v>
      </c>
      <c r="H31" s="2" t="s">
        <v>184</v>
      </c>
      <c r="I31" s="40" t="s">
        <v>41</v>
      </c>
      <c r="J31" s="40" t="s">
        <v>183</v>
      </c>
    </row>
    <row r="32" spans="1:11" x14ac:dyDescent="0.2">
      <c r="C32" s="11" t="s">
        <v>215</v>
      </c>
      <c r="D32" s="35"/>
      <c r="G32" s="6" t="s">
        <v>284</v>
      </c>
      <c r="H32" s="3" t="s">
        <v>371</v>
      </c>
      <c r="I32" s="41">
        <v>1.24461</v>
      </c>
      <c r="J32" s="41"/>
    </row>
    <row r="33" spans="1:11" x14ac:dyDescent="0.2">
      <c r="C33" s="11" t="s">
        <v>216</v>
      </c>
      <c r="D33" s="35"/>
      <c r="H33" s="3" t="s">
        <v>370</v>
      </c>
      <c r="I33" s="41">
        <v>1.2215</v>
      </c>
      <c r="J33" s="41"/>
    </row>
    <row r="34" spans="1:11" x14ac:dyDescent="0.2">
      <c r="H34" s="3" t="s">
        <v>372</v>
      </c>
      <c r="I34" s="41">
        <v>1.2215</v>
      </c>
      <c r="J34" s="41"/>
    </row>
    <row r="35" spans="1:11" x14ac:dyDescent="0.2">
      <c r="A35" s="40">
        <v>4</v>
      </c>
      <c r="B35" s="2" t="s">
        <v>315</v>
      </c>
      <c r="H35" s="3" t="s">
        <v>185</v>
      </c>
      <c r="I35" s="41"/>
      <c r="J35" s="41"/>
      <c r="K35" s="2"/>
    </row>
    <row r="36" spans="1:11" x14ac:dyDescent="0.2">
      <c r="B36" s="6" t="s">
        <v>219</v>
      </c>
      <c r="D36" s="42" t="s">
        <v>299</v>
      </c>
      <c r="E36" s="42"/>
      <c r="F36" s="52"/>
      <c r="G36" s="3" t="s">
        <v>321</v>
      </c>
      <c r="H36" s="3" t="s">
        <v>186</v>
      </c>
      <c r="I36" s="41"/>
      <c r="J36" s="41"/>
      <c r="K36" s="6"/>
    </row>
    <row r="37" spans="1:11" x14ac:dyDescent="0.2">
      <c r="B37" s="6" t="s">
        <v>362</v>
      </c>
      <c r="C37" s="6" t="s">
        <v>88</v>
      </c>
      <c r="D37" s="38" t="s">
        <v>195</v>
      </c>
      <c r="E37" s="38" t="s">
        <v>196</v>
      </c>
      <c r="H37" s="3" t="s">
        <v>187</v>
      </c>
      <c r="I37" s="41"/>
      <c r="J37" s="41"/>
    </row>
    <row r="38" spans="1:11" s="2" customFormat="1" x14ac:dyDescent="0.2">
      <c r="A38" s="40"/>
      <c r="B38" s="6"/>
      <c r="C38" s="3" t="s">
        <v>192</v>
      </c>
      <c r="D38" s="35">
        <v>1.0569999999999999</v>
      </c>
      <c r="E38" s="35">
        <v>0</v>
      </c>
      <c r="F38" s="40"/>
      <c r="G38" s="3"/>
      <c r="H38" s="3" t="s">
        <v>188</v>
      </c>
      <c r="I38" s="41"/>
      <c r="J38" s="41"/>
      <c r="K38" s="3"/>
    </row>
    <row r="39" spans="1:11" s="6" customFormat="1" x14ac:dyDescent="0.2">
      <c r="A39" s="40"/>
      <c r="B39" s="3"/>
      <c r="C39" s="3" t="s">
        <v>193</v>
      </c>
      <c r="D39" s="35">
        <v>1.0569999999999999</v>
      </c>
      <c r="E39" s="35">
        <v>0</v>
      </c>
      <c r="F39" s="40"/>
      <c r="G39" s="3"/>
      <c r="H39" s="3" t="s">
        <v>189</v>
      </c>
      <c r="I39" s="41"/>
      <c r="J39" s="41"/>
      <c r="K39" s="3"/>
    </row>
    <row r="40" spans="1:11" x14ac:dyDescent="0.2">
      <c r="C40" s="3" t="s">
        <v>194</v>
      </c>
      <c r="D40" s="35">
        <v>4.2279999999999998</v>
      </c>
      <c r="E40" s="35">
        <v>0</v>
      </c>
      <c r="G40" s="1"/>
      <c r="H40" s="3" t="s">
        <v>190</v>
      </c>
      <c r="I40" s="41"/>
      <c r="J40" s="41"/>
    </row>
    <row r="41" spans="1:11" x14ac:dyDescent="0.2">
      <c r="C41" s="20" t="s">
        <v>241</v>
      </c>
      <c r="D41" s="39">
        <f>MAX(D38:D40)</f>
        <v>4.2279999999999998</v>
      </c>
      <c r="E41" s="10"/>
      <c r="G41" s="25"/>
      <c r="H41" s="3" t="s">
        <v>191</v>
      </c>
      <c r="I41" s="41"/>
      <c r="J41" s="41"/>
    </row>
    <row r="42" spans="1:11" x14ac:dyDescent="0.2">
      <c r="G42" s="25"/>
      <c r="H42" s="20" t="s">
        <v>230</v>
      </c>
      <c r="I42" s="39">
        <f>MAX(I32:I41)</f>
        <v>1.24461</v>
      </c>
      <c r="J42" s="39">
        <f>MAX(J32:J41)</f>
        <v>0</v>
      </c>
    </row>
    <row r="43" spans="1:11" x14ac:dyDescent="0.2">
      <c r="A43" s="40">
        <v>5</v>
      </c>
      <c r="B43" s="2" t="s">
        <v>314</v>
      </c>
      <c r="G43" s="25"/>
      <c r="H43" s="26"/>
      <c r="I43" s="26"/>
      <c r="J43" s="26"/>
    </row>
    <row r="44" spans="1:11" x14ac:dyDescent="0.2">
      <c r="B44" s="6" t="s">
        <v>301</v>
      </c>
      <c r="G44" s="20" t="s">
        <v>240</v>
      </c>
      <c r="H44" s="20">
        <v>1.4021999999999999</v>
      </c>
      <c r="I44" s="27"/>
    </row>
    <row r="45" spans="1:11" x14ac:dyDescent="0.2">
      <c r="B45" s="6"/>
      <c r="D45" s="42" t="s">
        <v>300</v>
      </c>
      <c r="E45" s="42"/>
      <c r="F45" s="52"/>
      <c r="I45" s="6"/>
      <c r="J45" s="6"/>
    </row>
    <row r="46" spans="1:11" ht="25.5" x14ac:dyDescent="0.2">
      <c r="B46" s="28" t="s">
        <v>91</v>
      </c>
      <c r="C46" s="28" t="s">
        <v>78</v>
      </c>
      <c r="D46" s="28" t="s">
        <v>253</v>
      </c>
      <c r="E46" s="28" t="s">
        <v>254</v>
      </c>
      <c r="G46" s="20" t="s">
        <v>255</v>
      </c>
      <c r="H46" s="29">
        <f>ROUND(((SUM(J7:J25))*H44),0)</f>
        <v>105810</v>
      </c>
      <c r="J46" s="3" t="s">
        <v>358</v>
      </c>
    </row>
    <row r="47" spans="1:11" x14ac:dyDescent="0.2">
      <c r="B47" s="10" t="s">
        <v>249</v>
      </c>
      <c r="C47" s="36">
        <v>3500</v>
      </c>
      <c r="D47" s="36">
        <v>2000</v>
      </c>
      <c r="E47" s="36">
        <v>6000</v>
      </c>
      <c r="G47" s="20" t="s">
        <v>256</v>
      </c>
      <c r="H47" s="30">
        <f>ROUND((H46*0.1),0)</f>
        <v>10581</v>
      </c>
      <c r="J47" s="3" t="s">
        <v>359</v>
      </c>
    </row>
    <row r="48" spans="1:11" x14ac:dyDescent="0.2">
      <c r="B48" s="10" t="s">
        <v>250</v>
      </c>
      <c r="C48" s="36">
        <v>4500</v>
      </c>
      <c r="D48" s="36">
        <v>2000</v>
      </c>
      <c r="E48" s="36">
        <v>6000</v>
      </c>
      <c r="G48" s="20"/>
      <c r="H48" s="29">
        <f>SUM(H46:H47)</f>
        <v>116391</v>
      </c>
      <c r="J48" s="3" t="s">
        <v>360</v>
      </c>
    </row>
    <row r="49" spans="1:10" x14ac:dyDescent="0.2">
      <c r="B49" s="10" t="s">
        <v>251</v>
      </c>
      <c r="C49" s="36">
        <v>5500</v>
      </c>
      <c r="D49" s="36">
        <v>2000</v>
      </c>
      <c r="E49" s="36">
        <v>7000</v>
      </c>
      <c r="G49" s="20" t="s">
        <v>257</v>
      </c>
      <c r="H49" s="20">
        <f>H48/100*D41</f>
        <v>4921.0114800000001</v>
      </c>
      <c r="J49" s="3" t="s">
        <v>361</v>
      </c>
    </row>
    <row r="50" spans="1:10" ht="13.5" thickBot="1" x14ac:dyDescent="0.25">
      <c r="B50" s="10" t="s">
        <v>252</v>
      </c>
      <c r="C50" s="36">
        <v>5500</v>
      </c>
      <c r="D50" s="36">
        <v>2000</v>
      </c>
      <c r="E50" s="36">
        <v>7000</v>
      </c>
      <c r="G50" s="20" t="s">
        <v>261</v>
      </c>
      <c r="H50" s="31">
        <f>SUM(H48:H49)</f>
        <v>121312.01148</v>
      </c>
    </row>
    <row r="51" spans="1:10" ht="13.5" thickTop="1" x14ac:dyDescent="0.2">
      <c r="B51" s="10" t="s">
        <v>94</v>
      </c>
      <c r="C51" s="36">
        <v>0</v>
      </c>
      <c r="D51" s="36">
        <v>0</v>
      </c>
      <c r="E51" s="36">
        <v>20500</v>
      </c>
    </row>
    <row r="52" spans="1:10" x14ac:dyDescent="0.2">
      <c r="E52" s="12"/>
    </row>
    <row r="54" spans="1:10" s="2" customFormat="1" x14ac:dyDescent="0.2">
      <c r="A54" s="40">
        <v>10</v>
      </c>
      <c r="B54" s="2" t="s">
        <v>313</v>
      </c>
      <c r="F54" s="40"/>
    </row>
    <row r="55" spans="1:10" x14ac:dyDescent="0.2">
      <c r="C55" s="3" t="s">
        <v>92</v>
      </c>
      <c r="D55" s="3" t="s">
        <v>93</v>
      </c>
      <c r="E55" s="3" t="s">
        <v>316</v>
      </c>
    </row>
    <row r="56" spans="1:10" x14ac:dyDescent="0.2">
      <c r="B56" s="3" t="s">
        <v>317</v>
      </c>
      <c r="C56" s="55" t="e">
        <f>#REF!</f>
        <v>#REF!</v>
      </c>
      <c r="D56" s="55">
        <f>E7</f>
        <v>45928</v>
      </c>
      <c r="E56" s="3" t="e">
        <f>ROUND(((D56-C56)/7),0)</f>
        <v>#REF!</v>
      </c>
    </row>
    <row r="57" spans="1:10" x14ac:dyDescent="0.2">
      <c r="B57" s="3" t="s">
        <v>318</v>
      </c>
      <c r="C57" s="55" t="e">
        <f>C56</f>
        <v>#REF!</v>
      </c>
      <c r="D57" s="55">
        <f>D11</f>
        <v>45868</v>
      </c>
      <c r="E57" s="3" t="e">
        <f>ROUND(((D57-C57)/7),0)</f>
        <v>#REF!</v>
      </c>
    </row>
  </sheetData>
  <sheetProtection algorithmName="SHA-512" hashValue="s2kqOWrnZolYhc2n1JSFc8G3fNoWsk4VuhfoHWr7T5zOsTpUXMg+2gYtTl7aQFcVV3qbHLJcQb1XpMmaFEjbBw==" saltValue="k5ARDBwp8O0IMaWIow7oLw==" spinCount="100000" sheet="1" selectLockedCells="1" selectUnlockedCells="1"/>
  <phoneticPr fontId="3" type="noConversion"/>
  <pageMargins left="0.75" right="0.75" top="1" bottom="1" header="0.5" footer="0.5"/>
  <pageSetup paperSize="9" scale="5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2:I58"/>
  <sheetViews>
    <sheetView showGridLines="0" zoomScaleNormal="100" workbookViewId="0">
      <selection activeCell="B36" sqref="B36"/>
    </sheetView>
  </sheetViews>
  <sheetFormatPr defaultRowHeight="12.75" x14ac:dyDescent="0.2"/>
  <cols>
    <col min="1" max="1" width="29.28515625" style="94" customWidth="1"/>
    <col min="2" max="2" width="61.7109375" style="94" customWidth="1"/>
    <col min="3" max="16384" width="9.140625" style="94"/>
  </cols>
  <sheetData>
    <row r="2" spans="1:9" ht="15" x14ac:dyDescent="0.25">
      <c r="A2" s="273" t="str">
        <f>'Cost of Attendance'!C15&amp;" "&amp;'Cost of Attendance'!C14</f>
        <v xml:space="preserve"> </v>
      </c>
      <c r="B2" s="274"/>
      <c r="C2" s="274"/>
      <c r="D2" s="274"/>
      <c r="E2" s="274"/>
      <c r="F2" s="274"/>
      <c r="G2" s="274"/>
      <c r="H2" s="275"/>
      <c r="I2" s="275"/>
    </row>
    <row r="3" spans="1:9" ht="15" x14ac:dyDescent="0.25">
      <c r="A3" s="276">
        <f>'Cost of Attendance'!C16</f>
        <v>0</v>
      </c>
      <c r="B3" s="274"/>
      <c r="C3" s="274"/>
      <c r="D3" s="274"/>
      <c r="E3" s="274"/>
      <c r="F3" s="274"/>
      <c r="G3" s="274"/>
      <c r="H3" s="275"/>
      <c r="I3" s="275"/>
    </row>
    <row r="4" spans="1:9" ht="15" x14ac:dyDescent="0.25">
      <c r="A4" s="276">
        <f>'Cost of Attendance'!C17</f>
        <v>0</v>
      </c>
      <c r="B4" s="274"/>
      <c r="C4" s="274"/>
      <c r="D4" s="274"/>
      <c r="E4" s="274"/>
      <c r="F4" s="274"/>
      <c r="G4" s="274"/>
      <c r="H4" s="275"/>
      <c r="I4" s="275"/>
    </row>
    <row r="5" spans="1:9" ht="15" x14ac:dyDescent="0.25">
      <c r="A5" s="276">
        <f>'Cost of Attendance'!C18</f>
        <v>0</v>
      </c>
      <c r="B5" s="274"/>
      <c r="C5" s="274"/>
      <c r="D5" s="274"/>
      <c r="E5" s="274"/>
      <c r="F5" s="274"/>
      <c r="G5" s="274"/>
      <c r="H5" s="275"/>
      <c r="I5" s="275"/>
    </row>
    <row r="6" spans="1:9" ht="15" x14ac:dyDescent="0.25">
      <c r="A6" s="276">
        <f>'Cost of Attendance'!C19</f>
        <v>0</v>
      </c>
      <c r="B6" s="274"/>
      <c r="C6" s="274"/>
      <c r="D6" s="274"/>
      <c r="E6" s="274"/>
      <c r="F6" s="274"/>
      <c r="G6" s="274"/>
      <c r="H6" s="275"/>
      <c r="I6" s="275"/>
    </row>
    <row r="7" spans="1:9" ht="15" x14ac:dyDescent="0.25">
      <c r="A7" s="276">
        <f>'Cost of Attendance'!C20</f>
        <v>0</v>
      </c>
      <c r="B7" s="274"/>
      <c r="C7" s="274"/>
      <c r="D7" s="274"/>
      <c r="E7" s="274"/>
      <c r="F7" s="274"/>
      <c r="G7" s="274"/>
      <c r="H7" s="275"/>
      <c r="I7" s="275"/>
    </row>
    <row r="8" spans="1:9" ht="15" x14ac:dyDescent="0.25">
      <c r="A8" s="274"/>
      <c r="B8" s="274"/>
      <c r="C8" s="274"/>
      <c r="D8" s="274"/>
      <c r="E8" s="274"/>
      <c r="F8" s="274"/>
      <c r="G8" s="274"/>
      <c r="H8" s="275"/>
      <c r="I8" s="275"/>
    </row>
    <row r="9" spans="1:9" ht="21" x14ac:dyDescent="0.35">
      <c r="A9" s="293" t="s">
        <v>99</v>
      </c>
      <c r="B9" s="274"/>
      <c r="C9" s="274"/>
      <c r="D9" s="274"/>
      <c r="E9" s="274"/>
      <c r="F9" s="274"/>
      <c r="G9" s="274"/>
      <c r="H9" s="275"/>
      <c r="I9" s="275"/>
    </row>
    <row r="10" spans="1:9" ht="21" x14ac:dyDescent="0.35">
      <c r="A10" s="294" t="str">
        <f>'Cost of Attendance'!C4</f>
        <v>for Academic Year 2024/25</v>
      </c>
      <c r="B10" s="274"/>
      <c r="C10" s="274"/>
      <c r="D10" s="274"/>
      <c r="E10" s="274"/>
      <c r="F10" s="274"/>
      <c r="G10" s="274"/>
      <c r="H10" s="275"/>
      <c r="I10" s="275"/>
    </row>
    <row r="11" spans="1:9" ht="15" x14ac:dyDescent="0.25">
      <c r="A11" s="274"/>
      <c r="B11" s="274"/>
      <c r="C11" s="274"/>
      <c r="D11" s="274"/>
      <c r="E11" s="274"/>
      <c r="F11" s="274"/>
      <c r="G11" s="274"/>
      <c r="H11" s="275"/>
      <c r="I11" s="275"/>
    </row>
    <row r="12" spans="1:9" ht="15" x14ac:dyDescent="0.25">
      <c r="A12" s="274"/>
      <c r="B12" s="274"/>
      <c r="C12" s="274"/>
      <c r="D12" s="274"/>
      <c r="E12" s="274"/>
      <c r="F12" s="274"/>
      <c r="G12" s="274"/>
      <c r="H12" s="275"/>
      <c r="I12" s="275"/>
    </row>
    <row r="13" spans="1:9" ht="15" x14ac:dyDescent="0.25">
      <c r="A13" s="274" t="s">
        <v>100</v>
      </c>
      <c r="B13" s="274"/>
      <c r="C13" s="274"/>
      <c r="D13" s="274"/>
      <c r="E13" s="274"/>
      <c r="F13" s="274"/>
      <c r="G13" s="274"/>
      <c r="H13" s="275"/>
      <c r="I13" s="275"/>
    </row>
    <row r="14" spans="1:9" ht="15" x14ac:dyDescent="0.25">
      <c r="A14" s="274"/>
      <c r="B14" s="274"/>
      <c r="C14" s="274"/>
      <c r="D14" s="274"/>
      <c r="E14" s="274"/>
      <c r="F14" s="274"/>
      <c r="G14" s="274"/>
      <c r="H14" s="275"/>
      <c r="I14" s="275"/>
    </row>
    <row r="15" spans="1:9" s="104" customFormat="1" ht="15.75" x14ac:dyDescent="0.25">
      <c r="A15" s="277" t="s">
        <v>101</v>
      </c>
      <c r="B15" s="278" t="str">
        <f>'Cost of Attendance'!C15&amp;" "&amp;'Cost of Attendance'!C14</f>
        <v xml:space="preserve"> </v>
      </c>
      <c r="C15" s="279"/>
      <c r="D15" s="279"/>
      <c r="E15" s="279"/>
      <c r="F15" s="279"/>
      <c r="G15" s="279"/>
      <c r="H15" s="280"/>
      <c r="I15" s="280"/>
    </row>
    <row r="16" spans="1:9" s="104" customFormat="1" ht="15.75" x14ac:dyDescent="0.25">
      <c r="A16" s="277" t="s">
        <v>279</v>
      </c>
      <c r="B16" s="281">
        <f>'Cost of Attendance'!C22</f>
        <v>0</v>
      </c>
      <c r="C16" s="279"/>
      <c r="D16" s="279"/>
      <c r="E16" s="279"/>
      <c r="F16" s="279"/>
      <c r="G16" s="279"/>
      <c r="H16" s="280"/>
      <c r="I16" s="280"/>
    </row>
    <row r="17" spans="1:9" s="104" customFormat="1" ht="15.75" x14ac:dyDescent="0.25">
      <c r="A17" s="277" t="s">
        <v>103</v>
      </c>
      <c r="B17" s="282">
        <f>'Cost of Attendance'!C24</f>
        <v>0</v>
      </c>
      <c r="C17" s="279"/>
      <c r="D17" s="279"/>
      <c r="E17" s="279"/>
      <c r="F17" s="279"/>
      <c r="G17" s="279"/>
      <c r="H17" s="280"/>
      <c r="I17" s="280"/>
    </row>
    <row r="18" spans="1:9" s="104" customFormat="1" ht="15.75" x14ac:dyDescent="0.25">
      <c r="A18" s="435" t="s">
        <v>331</v>
      </c>
      <c r="B18" s="436"/>
      <c r="C18" s="279"/>
      <c r="D18" s="279"/>
      <c r="E18" s="279"/>
      <c r="F18" s="279"/>
      <c r="G18" s="279"/>
      <c r="H18" s="280"/>
      <c r="I18" s="280"/>
    </row>
    <row r="19" spans="1:9" s="108" customFormat="1" ht="117" customHeight="1" x14ac:dyDescent="0.25">
      <c r="A19" s="433" t="s">
        <v>327</v>
      </c>
      <c r="B19" s="434"/>
      <c r="C19" s="274"/>
      <c r="D19" s="274"/>
      <c r="E19" s="274"/>
      <c r="F19" s="274"/>
      <c r="G19" s="274"/>
      <c r="H19" s="275"/>
      <c r="I19" s="275"/>
    </row>
    <row r="20" spans="1:9" s="108" customFormat="1" ht="15.75" x14ac:dyDescent="0.25">
      <c r="A20" s="274"/>
      <c r="B20" s="274"/>
      <c r="C20" s="274"/>
      <c r="D20" s="274"/>
      <c r="E20" s="274"/>
      <c r="F20" s="274"/>
      <c r="G20" s="274"/>
      <c r="H20" s="275"/>
      <c r="I20" s="275"/>
    </row>
    <row r="21" spans="1:9" s="108" customFormat="1" ht="15.75" x14ac:dyDescent="0.25">
      <c r="A21" s="274" t="s">
        <v>105</v>
      </c>
      <c r="B21" s="274"/>
      <c r="C21" s="274"/>
      <c r="D21" s="274"/>
      <c r="E21" s="274"/>
      <c r="F21" s="274"/>
      <c r="G21" s="274"/>
      <c r="H21" s="275"/>
      <c r="I21" s="275"/>
    </row>
    <row r="22" spans="1:9" s="104" customFormat="1" ht="15.75" x14ac:dyDescent="0.25">
      <c r="A22" s="283" t="s">
        <v>106</v>
      </c>
      <c r="B22" s="284">
        <f>IF(('Cost of Attendance'!D27="n"),'Cost of Attendance'!J15,'Cost of Attendance'!J13)</f>
        <v>45565</v>
      </c>
      <c r="C22" s="279"/>
      <c r="D22" s="279"/>
      <c r="E22" s="279"/>
      <c r="F22" s="279"/>
      <c r="G22" s="279"/>
      <c r="H22" s="280"/>
      <c r="I22" s="280"/>
    </row>
    <row r="23" spans="1:9" s="104" customFormat="1" ht="15.75" x14ac:dyDescent="0.25">
      <c r="A23" s="283" t="s">
        <v>107</v>
      </c>
      <c r="B23" s="284">
        <f>IF(('Cost of Attendance'!D27="n"),'Cost of Attendance'!J16,'Cost of Attendance'!J14)</f>
        <v>45928</v>
      </c>
      <c r="C23" s="279"/>
      <c r="D23" s="279"/>
      <c r="E23" s="279"/>
      <c r="F23" s="279"/>
      <c r="G23" s="279"/>
      <c r="H23" s="280"/>
      <c r="I23" s="280"/>
    </row>
    <row r="24" spans="1:9" ht="15.75" customHeight="1" x14ac:dyDescent="0.25">
      <c r="A24" s="274"/>
      <c r="B24" s="274"/>
      <c r="C24" s="274"/>
      <c r="D24" s="274"/>
      <c r="E24" s="274"/>
      <c r="F24" s="274"/>
      <c r="G24" s="274"/>
      <c r="H24" s="275"/>
      <c r="I24" s="275"/>
    </row>
    <row r="25" spans="1:9" ht="15.75" customHeight="1" x14ac:dyDescent="0.25">
      <c r="A25" s="274" t="s">
        <v>334</v>
      </c>
      <c r="B25" s="274"/>
      <c r="C25" s="274"/>
      <c r="D25" s="274"/>
      <c r="E25" s="274"/>
      <c r="F25" s="274"/>
      <c r="G25" s="274"/>
      <c r="H25" s="275"/>
      <c r="I25" s="275"/>
    </row>
    <row r="26" spans="1:9" s="108" customFormat="1" ht="15.75" customHeight="1" x14ac:dyDescent="0.25">
      <c r="A26" s="275" t="s">
        <v>243</v>
      </c>
      <c r="B26" s="274"/>
      <c r="C26" s="274"/>
      <c r="D26" s="274"/>
      <c r="E26" s="274"/>
      <c r="F26" s="274"/>
      <c r="G26" s="274"/>
      <c r="H26" s="275"/>
      <c r="I26" s="275"/>
    </row>
    <row r="27" spans="1:9" s="104" customFormat="1" ht="15.75" customHeight="1" x14ac:dyDescent="0.25">
      <c r="A27" s="285" t="s">
        <v>88</v>
      </c>
      <c r="B27" s="286" t="s">
        <v>108</v>
      </c>
      <c r="C27" s="279"/>
      <c r="D27" s="279"/>
      <c r="E27" s="279"/>
      <c r="F27" s="279"/>
      <c r="G27" s="279"/>
      <c r="H27" s="280"/>
      <c r="I27" s="280"/>
    </row>
    <row r="28" spans="1:9" s="104" customFormat="1" ht="15.75" customHeight="1" x14ac:dyDescent="0.25">
      <c r="A28" s="277" t="s">
        <v>109</v>
      </c>
      <c r="B28" s="287">
        <f>'Cost of Attendance'!E88</f>
        <v>0</v>
      </c>
      <c r="C28" s="279"/>
      <c r="D28" s="279"/>
      <c r="E28" s="279"/>
      <c r="F28" s="279"/>
      <c r="G28" s="279"/>
      <c r="H28" s="280"/>
      <c r="I28" s="280"/>
    </row>
    <row r="29" spans="1:9" s="104" customFormat="1" ht="15.75" customHeight="1" x14ac:dyDescent="0.25">
      <c r="A29" s="277" t="s">
        <v>110</v>
      </c>
      <c r="B29" s="287">
        <f>'Cost of Attendance'!E89</f>
        <v>0</v>
      </c>
      <c r="C29" s="279"/>
      <c r="D29" s="279"/>
      <c r="E29" s="279"/>
      <c r="F29" s="279"/>
      <c r="G29" s="279"/>
      <c r="H29" s="280"/>
      <c r="I29" s="280"/>
    </row>
    <row r="30" spans="1:9" s="104" customFormat="1" ht="15.75" customHeight="1" x14ac:dyDescent="0.25">
      <c r="A30" s="277" t="s">
        <v>111</v>
      </c>
      <c r="B30" s="287">
        <f>'Cost of Attendance'!E90</f>
        <v>0</v>
      </c>
      <c r="C30" s="279"/>
      <c r="D30" s="279"/>
      <c r="E30" s="279"/>
      <c r="F30" s="279"/>
      <c r="G30" s="279"/>
      <c r="H30" s="280"/>
      <c r="I30" s="280"/>
    </row>
    <row r="31" spans="1:9" s="104" customFormat="1" ht="15.75" customHeight="1" thickBot="1" x14ac:dyDescent="0.3">
      <c r="A31" s="288" t="s">
        <v>86</v>
      </c>
      <c r="B31" s="287">
        <f>'Cost of Attendance'!E91</f>
        <v>0</v>
      </c>
      <c r="C31" s="279"/>
      <c r="D31" s="279"/>
      <c r="E31" s="279"/>
      <c r="F31" s="279"/>
      <c r="G31" s="279"/>
      <c r="H31" s="280"/>
      <c r="I31" s="280"/>
    </row>
    <row r="32" spans="1:9" ht="15.75" customHeight="1" thickTop="1" x14ac:dyDescent="0.25">
      <c r="A32" s="274"/>
      <c r="B32" s="289"/>
      <c r="C32" s="274"/>
      <c r="D32" s="274"/>
      <c r="E32" s="274"/>
      <c r="F32" s="274"/>
      <c r="G32" s="274"/>
      <c r="H32" s="275"/>
      <c r="I32" s="275"/>
    </row>
    <row r="33" spans="1:9" s="108" customFormat="1" ht="15.75" customHeight="1" x14ac:dyDescent="0.25">
      <c r="A33" s="274" t="s">
        <v>112</v>
      </c>
      <c r="B33" s="289"/>
      <c r="C33" s="274"/>
      <c r="D33" s="274"/>
      <c r="E33" s="274"/>
      <c r="F33" s="274"/>
      <c r="G33" s="274"/>
      <c r="H33" s="275"/>
      <c r="I33" s="275"/>
    </row>
    <row r="34" spans="1:9" s="104" customFormat="1" ht="15.75" customHeight="1" x14ac:dyDescent="0.25">
      <c r="A34" s="284">
        <f>'Cost of Attendance'!M13</f>
        <v>45565</v>
      </c>
      <c r="B34" s="287">
        <f>'Cost of Attendance'!N13</f>
        <v>0</v>
      </c>
      <c r="C34" s="279"/>
      <c r="D34" s="279"/>
      <c r="E34" s="279"/>
      <c r="F34" s="279"/>
      <c r="G34" s="279"/>
      <c r="H34" s="280"/>
      <c r="I34" s="280"/>
    </row>
    <row r="35" spans="1:9" s="104" customFormat="1" ht="15.75" customHeight="1" x14ac:dyDescent="0.25">
      <c r="A35" s="284">
        <f>'Cost of Attendance'!M14</f>
        <v>45677</v>
      </c>
      <c r="B35" s="287">
        <f>'Cost of Attendance'!N14</f>
        <v>0</v>
      </c>
      <c r="C35" s="279"/>
      <c r="D35" s="279"/>
      <c r="E35" s="279"/>
      <c r="F35" s="279"/>
      <c r="G35" s="279"/>
      <c r="H35" s="280"/>
      <c r="I35" s="280"/>
    </row>
    <row r="36" spans="1:9" s="104" customFormat="1" ht="15.75" customHeight="1" x14ac:dyDescent="0.25">
      <c r="A36" s="284">
        <f>'Cost of Attendance'!M15</f>
        <v>45783</v>
      </c>
      <c r="B36" s="287">
        <f>'Cost of Attendance'!N15</f>
        <v>0</v>
      </c>
      <c r="C36" s="279"/>
      <c r="D36" s="279"/>
      <c r="E36" s="279"/>
      <c r="F36" s="279"/>
      <c r="G36" s="279"/>
      <c r="H36" s="280"/>
      <c r="I36" s="280"/>
    </row>
    <row r="37" spans="1:9" s="104" customFormat="1" ht="15.75" customHeight="1" x14ac:dyDescent="0.25">
      <c r="A37" s="284" t="str">
        <f>IF(('Cost of Attendance'!M16&gt;'Cost of Attendance'!J15),'Cost of Attendance'!M16,"")</f>
        <v/>
      </c>
      <c r="B37" s="287" t="str">
        <f>IF(('Cost of Attendance'!N16&gt;'Cost of Attendance'!K15),'Cost of Attendance'!N16,"")</f>
        <v/>
      </c>
      <c r="C37" s="279"/>
      <c r="D37" s="279"/>
      <c r="E37" s="279"/>
      <c r="F37" s="279"/>
      <c r="G37" s="279"/>
      <c r="H37" s="280"/>
      <c r="I37" s="280"/>
    </row>
    <row r="38" spans="1:9" s="104" customFormat="1" ht="15.75" customHeight="1" thickBot="1" x14ac:dyDescent="0.3">
      <c r="A38" s="290" t="s">
        <v>86</v>
      </c>
      <c r="B38" s="287">
        <f>SUM(B34:B37)</f>
        <v>0</v>
      </c>
      <c r="C38" s="279"/>
      <c r="D38" s="279"/>
      <c r="E38" s="279"/>
      <c r="F38" s="279"/>
      <c r="G38" s="279"/>
      <c r="H38" s="280"/>
      <c r="I38" s="280"/>
    </row>
    <row r="39" spans="1:9" ht="15.75" thickTop="1" x14ac:dyDescent="0.25">
      <c r="A39" s="274"/>
      <c r="B39" s="274"/>
      <c r="C39" s="274"/>
      <c r="D39" s="274"/>
      <c r="E39" s="274"/>
      <c r="F39" s="274"/>
      <c r="G39" s="274"/>
      <c r="H39" s="275"/>
      <c r="I39" s="275"/>
    </row>
    <row r="40" spans="1:9" s="108" customFormat="1" ht="15.75" x14ac:dyDescent="0.25">
      <c r="A40" s="274" t="s">
        <v>113</v>
      </c>
      <c r="B40" s="274"/>
      <c r="C40" s="274"/>
      <c r="D40" s="274"/>
      <c r="E40" s="274"/>
      <c r="F40" s="274"/>
      <c r="G40" s="274"/>
      <c r="H40" s="275"/>
      <c r="I40" s="275"/>
    </row>
    <row r="41" spans="1:9" s="108" customFormat="1" ht="15.75" x14ac:dyDescent="0.25">
      <c r="A41" s="274" t="s">
        <v>124</v>
      </c>
      <c r="B41" s="274"/>
      <c r="C41" s="274"/>
      <c r="D41" s="274"/>
      <c r="E41" s="274"/>
      <c r="F41" s="274"/>
      <c r="G41" s="274"/>
      <c r="H41" s="275"/>
      <c r="I41" s="275"/>
    </row>
    <row r="42" spans="1:9" s="108" customFormat="1" ht="15.75" x14ac:dyDescent="0.25">
      <c r="A42" s="274" t="s">
        <v>125</v>
      </c>
      <c r="B42" s="274"/>
      <c r="C42" s="274"/>
      <c r="D42" s="274"/>
      <c r="E42" s="274"/>
      <c r="F42" s="274"/>
      <c r="G42" s="274"/>
      <c r="H42" s="275"/>
      <c r="I42" s="275"/>
    </row>
    <row r="43" spans="1:9" s="108" customFormat="1" ht="15.75" x14ac:dyDescent="0.25">
      <c r="A43" s="275" t="s">
        <v>114</v>
      </c>
      <c r="B43" s="274"/>
      <c r="C43" s="274"/>
      <c r="D43" s="274"/>
      <c r="E43" s="274"/>
      <c r="F43" s="274"/>
      <c r="G43" s="274"/>
      <c r="H43" s="275"/>
      <c r="I43" s="275"/>
    </row>
    <row r="44" spans="1:9" s="108" customFormat="1" ht="15.75" x14ac:dyDescent="0.25">
      <c r="A44" s="274" t="str">
        <f>(IF(('School DATA'!D26&gt;0),'School DATA'!D26,""))&amp;"    "&amp;(IF(('School DATA'!D30&gt;0),'School DATA'!D30,""))</f>
        <v>CP    ME</v>
      </c>
      <c r="B44" s="274"/>
      <c r="C44" s="274"/>
      <c r="D44" s="274"/>
      <c r="E44" s="274"/>
      <c r="F44" s="274"/>
      <c r="G44" s="274"/>
      <c r="H44" s="275"/>
      <c r="I44" s="275"/>
    </row>
    <row r="45" spans="1:9" s="108" customFormat="1" ht="15.75" x14ac:dyDescent="0.25">
      <c r="A45" s="274" t="str">
        <f>(IF(('School DATA'!D27&gt;0),'School DATA'!D27,""))&amp;"    "&amp;(IF(('School DATA'!D31&gt;0),'School DATA'!D31,""))</f>
        <v>CW    GP</v>
      </c>
      <c r="B45" s="274"/>
      <c r="C45" s="274"/>
      <c r="D45" s="274"/>
      <c r="E45" s="274"/>
      <c r="F45" s="274"/>
      <c r="G45" s="274"/>
      <c r="H45" s="275"/>
      <c r="I45" s="275"/>
    </row>
    <row r="46" spans="1:9" s="108" customFormat="1" ht="15.75" x14ac:dyDescent="0.25">
      <c r="A46" s="274" t="str">
        <f>(IF(('School DATA'!D28&gt;0),'School DATA'!D28,""))&amp;"    "&amp;(IF(('School DATA'!D32&gt;0),'School DATA'!D32,""))</f>
        <v xml:space="preserve">DO    </v>
      </c>
      <c r="B46" s="274"/>
      <c r="C46" s="274"/>
      <c r="D46" s="274"/>
      <c r="E46" s="274"/>
      <c r="F46" s="274"/>
      <c r="G46" s="274"/>
      <c r="H46" s="275"/>
      <c r="I46" s="275"/>
    </row>
    <row r="47" spans="1:9" s="108" customFormat="1" ht="15.75" x14ac:dyDescent="0.25">
      <c r="A47" s="274" t="str">
        <f>(IF(('School DATA'!D29&gt;0),'School DATA'!D29,""))&amp;"    "&amp;(IF(('School DATA'!D33&gt;0),'School DATA'!D33,""))</f>
        <v xml:space="preserve">SD    </v>
      </c>
      <c r="B47" s="274"/>
      <c r="C47" s="274"/>
      <c r="D47" s="274"/>
      <c r="E47" s="274"/>
      <c r="F47" s="274"/>
      <c r="G47" s="274"/>
      <c r="H47" s="275"/>
      <c r="I47" s="275"/>
    </row>
    <row r="48" spans="1:9" s="108" customFormat="1" ht="15.75" x14ac:dyDescent="0.25">
      <c r="A48" s="275"/>
      <c r="B48" s="275"/>
      <c r="C48" s="274"/>
      <c r="D48" s="274"/>
      <c r="E48" s="274"/>
      <c r="F48" s="274"/>
      <c r="G48" s="274"/>
      <c r="H48" s="275"/>
      <c r="I48" s="275"/>
    </row>
    <row r="49" spans="1:9" s="108" customFormat="1" ht="15.75" x14ac:dyDescent="0.25">
      <c r="A49" s="274" t="s">
        <v>115</v>
      </c>
      <c r="B49" s="274"/>
      <c r="C49" s="274"/>
      <c r="D49" s="274"/>
      <c r="E49" s="274"/>
      <c r="F49" s="274"/>
      <c r="G49" s="274"/>
      <c r="H49" s="275"/>
      <c r="I49" s="275"/>
    </row>
    <row r="50" spans="1:9" s="108" customFormat="1" ht="15.75" x14ac:dyDescent="0.25">
      <c r="A50" s="275"/>
      <c r="B50" s="274"/>
      <c r="C50" s="274"/>
      <c r="D50" s="274"/>
      <c r="E50" s="274"/>
      <c r="F50" s="274"/>
      <c r="G50" s="274"/>
      <c r="H50" s="275"/>
      <c r="I50" s="275"/>
    </row>
    <row r="51" spans="1:9" s="108" customFormat="1" ht="15.75" x14ac:dyDescent="0.25">
      <c r="A51" s="275"/>
      <c r="B51" s="274"/>
      <c r="C51" s="274"/>
      <c r="D51" s="274"/>
      <c r="E51" s="274"/>
      <c r="F51" s="274"/>
      <c r="G51" s="274"/>
      <c r="H51" s="275"/>
      <c r="I51" s="275"/>
    </row>
    <row r="52" spans="1:9" ht="15" x14ac:dyDescent="0.25">
      <c r="A52" s="275" t="s">
        <v>123</v>
      </c>
      <c r="B52" s="291">
        <f ca="1">TODAY()</f>
        <v>45406</v>
      </c>
      <c r="C52" s="274"/>
      <c r="D52" s="274"/>
      <c r="E52" s="274"/>
      <c r="F52" s="274"/>
      <c r="G52" s="274"/>
      <c r="H52" s="275"/>
      <c r="I52" s="275"/>
    </row>
    <row r="53" spans="1:9" ht="15" x14ac:dyDescent="0.25">
      <c r="A53" s="274"/>
      <c r="B53" s="274"/>
      <c r="C53" s="274"/>
      <c r="D53" s="274"/>
      <c r="E53" s="274"/>
      <c r="F53" s="274"/>
      <c r="G53" s="274"/>
      <c r="H53" s="275"/>
      <c r="I53" s="275"/>
    </row>
    <row r="54" spans="1:9" ht="15" x14ac:dyDescent="0.25">
      <c r="A54" s="295" t="s">
        <v>333</v>
      </c>
      <c r="B54" s="274"/>
      <c r="C54" s="292"/>
      <c r="D54" s="292"/>
      <c r="E54" s="292"/>
      <c r="F54" s="274"/>
      <c r="G54" s="274"/>
      <c r="H54" s="275"/>
      <c r="I54" s="275"/>
    </row>
    <row r="55" spans="1:9" x14ac:dyDescent="0.2">
      <c r="A55" s="93"/>
      <c r="B55" s="93"/>
      <c r="C55" s="93"/>
      <c r="D55" s="93"/>
      <c r="E55" s="93"/>
      <c r="F55" s="93"/>
      <c r="G55" s="93"/>
    </row>
    <row r="56" spans="1:9" x14ac:dyDescent="0.2">
      <c r="C56" s="93"/>
      <c r="D56" s="93"/>
      <c r="E56" s="93"/>
      <c r="F56" s="93"/>
      <c r="G56" s="93"/>
    </row>
    <row r="57" spans="1:9" x14ac:dyDescent="0.2">
      <c r="C57" s="93"/>
      <c r="D57" s="93"/>
      <c r="E57" s="93"/>
      <c r="F57" s="93"/>
      <c r="G57" s="93"/>
    </row>
    <row r="58" spans="1:9" x14ac:dyDescent="0.2">
      <c r="C58" s="93"/>
      <c r="D58" s="93"/>
      <c r="E58" s="93"/>
      <c r="F58" s="93"/>
      <c r="G58" s="93"/>
    </row>
  </sheetData>
  <sheetProtection password="8B9F" sheet="1" selectLockedCells="1" selectUnlockedCells="1"/>
  <mergeCells count="2">
    <mergeCell ref="A19:B19"/>
    <mergeCell ref="A18:B18"/>
  </mergeCells>
  <phoneticPr fontId="3" type="noConversion"/>
  <pageMargins left="0.7" right="0.7" top="0.75" bottom="0.75" header="0.3" footer="0.3"/>
  <pageSetup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G58"/>
  <sheetViews>
    <sheetView showGridLines="0" zoomScale="75" zoomScaleNormal="75" zoomScaleSheetLayoutView="90" workbookViewId="0">
      <selection activeCell="D13" sqref="D13"/>
    </sheetView>
  </sheetViews>
  <sheetFormatPr defaultRowHeight="12.75" x14ac:dyDescent="0.2"/>
  <cols>
    <col min="1" max="1" width="29.28515625" style="94" customWidth="1"/>
    <col min="2" max="2" width="61.7109375" style="94" customWidth="1"/>
    <col min="3" max="16384" width="9.140625" style="94"/>
  </cols>
  <sheetData>
    <row r="1" spans="1:7" ht="15.75" x14ac:dyDescent="0.25">
      <c r="A1" s="92" t="str">
        <f>'Cost of Attendance'!C15&amp;" "&amp;'Cost of Attendance'!C14</f>
        <v xml:space="preserve"> </v>
      </c>
      <c r="B1" s="93"/>
      <c r="C1" s="93"/>
      <c r="D1" s="93"/>
      <c r="E1" s="93"/>
      <c r="F1" s="93"/>
      <c r="G1" s="93"/>
    </row>
    <row r="2" spans="1:7" ht="15.75" x14ac:dyDescent="0.25">
      <c r="A2" s="95">
        <f>'Cost of Attendance'!C16</f>
        <v>0</v>
      </c>
      <c r="B2" s="93"/>
      <c r="C2" s="93"/>
      <c r="D2" s="93"/>
      <c r="E2" s="93"/>
      <c r="F2" s="93"/>
      <c r="G2" s="93"/>
    </row>
    <row r="3" spans="1:7" ht="15.75" x14ac:dyDescent="0.25">
      <c r="A3" s="95">
        <f>'Cost of Attendance'!C17</f>
        <v>0</v>
      </c>
      <c r="B3" s="93"/>
      <c r="C3" s="93"/>
      <c r="D3" s="93"/>
      <c r="E3" s="93"/>
      <c r="F3" s="93"/>
      <c r="G3" s="93"/>
    </row>
    <row r="4" spans="1:7" ht="15.75" x14ac:dyDescent="0.25">
      <c r="A4" s="95">
        <f>'Cost of Attendance'!C18</f>
        <v>0</v>
      </c>
      <c r="B4" s="93"/>
      <c r="C4" s="93"/>
      <c r="D4" s="93"/>
      <c r="E4" s="93"/>
      <c r="F4" s="93"/>
      <c r="G4" s="93"/>
    </row>
    <row r="5" spans="1:7" ht="15.75" x14ac:dyDescent="0.25">
      <c r="A5" s="95">
        <f>'Cost of Attendance'!C19</f>
        <v>0</v>
      </c>
      <c r="B5" s="93"/>
      <c r="C5" s="93"/>
      <c r="D5" s="93"/>
      <c r="E5" s="93"/>
      <c r="F5" s="93"/>
      <c r="G5" s="93"/>
    </row>
    <row r="6" spans="1:7" ht="15.75" x14ac:dyDescent="0.25">
      <c r="A6" s="95">
        <f>'Cost of Attendance'!C20</f>
        <v>0</v>
      </c>
      <c r="B6" s="93"/>
      <c r="C6" s="93"/>
      <c r="D6" s="93"/>
      <c r="E6" s="93"/>
      <c r="F6" s="93"/>
      <c r="G6" s="93"/>
    </row>
    <row r="7" spans="1:7" x14ac:dyDescent="0.2">
      <c r="A7" s="96"/>
      <c r="B7" s="93"/>
      <c r="C7" s="93"/>
      <c r="D7" s="93"/>
      <c r="E7" s="93"/>
      <c r="F7" s="93"/>
      <c r="G7" s="93"/>
    </row>
    <row r="8" spans="1:7" x14ac:dyDescent="0.2">
      <c r="A8" s="97"/>
      <c r="B8" s="93"/>
      <c r="C8" s="93"/>
      <c r="D8" s="93"/>
      <c r="E8" s="93"/>
      <c r="F8" s="93"/>
      <c r="G8" s="93"/>
    </row>
    <row r="9" spans="1:7" x14ac:dyDescent="0.2">
      <c r="B9" s="93"/>
      <c r="C9" s="93"/>
      <c r="D9" s="93"/>
      <c r="E9" s="93"/>
      <c r="F9" s="93"/>
      <c r="G9" s="93"/>
    </row>
    <row r="10" spans="1:7" x14ac:dyDescent="0.2">
      <c r="A10" s="93"/>
      <c r="B10" s="93"/>
      <c r="C10" s="93"/>
      <c r="D10" s="93"/>
      <c r="E10" s="93"/>
      <c r="F10" s="93"/>
      <c r="G10" s="93"/>
    </row>
    <row r="11" spans="1:7" ht="23.25" x14ac:dyDescent="0.35">
      <c r="A11" s="98" t="s">
        <v>99</v>
      </c>
      <c r="B11" s="93"/>
      <c r="C11" s="93"/>
      <c r="D11" s="93"/>
      <c r="E11" s="93"/>
      <c r="F11" s="93"/>
      <c r="G11" s="93"/>
    </row>
    <row r="12" spans="1:7" ht="23.25" x14ac:dyDescent="0.35">
      <c r="A12" s="99" t="str">
        <f>'Cost of Attendance'!C4</f>
        <v>for Academic Year 2024/25</v>
      </c>
      <c r="B12" s="93"/>
      <c r="C12" s="93"/>
      <c r="D12" s="93"/>
      <c r="E12" s="93"/>
      <c r="F12" s="93"/>
      <c r="G12" s="93"/>
    </row>
    <row r="13" spans="1:7" x14ac:dyDescent="0.2">
      <c r="A13" s="93"/>
      <c r="B13" s="93"/>
      <c r="C13" s="93"/>
      <c r="D13" s="93"/>
      <c r="E13" s="93"/>
      <c r="F13" s="93"/>
      <c r="G13" s="93"/>
    </row>
    <row r="14" spans="1:7" x14ac:dyDescent="0.2">
      <c r="A14" s="93"/>
      <c r="B14" s="93"/>
      <c r="C14" s="93"/>
      <c r="D14" s="93"/>
      <c r="E14" s="93"/>
      <c r="F14" s="93"/>
      <c r="G14" s="93"/>
    </row>
    <row r="15" spans="1:7" ht="18.75" x14ac:dyDescent="0.3">
      <c r="A15" s="100" t="s">
        <v>100</v>
      </c>
      <c r="B15" s="93"/>
      <c r="C15" s="93"/>
      <c r="D15" s="93"/>
      <c r="E15" s="93"/>
      <c r="F15" s="93"/>
      <c r="G15" s="93"/>
    </row>
    <row r="16" spans="1:7" x14ac:dyDescent="0.2">
      <c r="A16" s="93"/>
      <c r="B16" s="93"/>
      <c r="C16" s="93"/>
      <c r="D16" s="93"/>
      <c r="E16" s="93"/>
      <c r="F16" s="93"/>
      <c r="G16" s="93"/>
    </row>
    <row r="17" spans="1:7" s="104" customFormat="1" ht="15.75" x14ac:dyDescent="0.25">
      <c r="A17" s="101" t="s">
        <v>101</v>
      </c>
      <c r="B17" s="102" t="str">
        <f>'Cost of Attendance'!C15&amp;" "&amp;'Cost of Attendance'!C14</f>
        <v xml:space="preserve"> </v>
      </c>
      <c r="C17" s="103"/>
      <c r="D17" s="103"/>
      <c r="E17" s="103"/>
      <c r="F17" s="103"/>
      <c r="G17" s="103"/>
    </row>
    <row r="18" spans="1:7" s="104" customFormat="1" ht="15.75" x14ac:dyDescent="0.25">
      <c r="A18" s="101" t="s">
        <v>102</v>
      </c>
      <c r="B18" s="105">
        <f>'Cost of Attendance'!C22</f>
        <v>0</v>
      </c>
      <c r="C18" s="103"/>
      <c r="D18" s="103"/>
      <c r="E18" s="103"/>
      <c r="F18" s="103"/>
      <c r="G18" s="103"/>
    </row>
    <row r="19" spans="1:7" s="104" customFormat="1" ht="15.75" x14ac:dyDescent="0.25">
      <c r="A19" s="101" t="s">
        <v>103</v>
      </c>
      <c r="B19" s="106">
        <f>'Cost of Attendance'!C24</f>
        <v>0</v>
      </c>
      <c r="C19" s="103"/>
      <c r="D19" s="103"/>
      <c r="E19" s="103"/>
      <c r="F19" s="103"/>
      <c r="G19" s="103"/>
    </row>
    <row r="20" spans="1:7" x14ac:dyDescent="0.2">
      <c r="A20" s="93"/>
      <c r="B20" s="93"/>
      <c r="C20" s="93"/>
      <c r="D20" s="93"/>
      <c r="E20" s="93"/>
      <c r="F20" s="93"/>
      <c r="G20" s="93"/>
    </row>
    <row r="21" spans="1:7" s="108" customFormat="1" ht="15.75" x14ac:dyDescent="0.25">
      <c r="A21" s="107" t="s">
        <v>104</v>
      </c>
      <c r="B21" s="107"/>
      <c r="C21" s="107"/>
      <c r="D21" s="107"/>
      <c r="E21" s="107"/>
      <c r="F21" s="107"/>
      <c r="G21" s="107"/>
    </row>
    <row r="22" spans="1:7" s="108" customFormat="1" ht="15.75" x14ac:dyDescent="0.25">
      <c r="A22" s="107"/>
      <c r="B22" s="107"/>
      <c r="C22" s="107"/>
      <c r="D22" s="107"/>
      <c r="E22" s="107"/>
      <c r="F22" s="107"/>
      <c r="G22" s="107"/>
    </row>
    <row r="23" spans="1:7" s="108" customFormat="1" ht="15.75" x14ac:dyDescent="0.25">
      <c r="A23" s="109" t="s">
        <v>178</v>
      </c>
      <c r="B23" s="107"/>
      <c r="C23" s="107"/>
      <c r="D23" s="107"/>
      <c r="E23" s="107"/>
      <c r="F23" s="107"/>
      <c r="G23" s="107"/>
    </row>
    <row r="24" spans="1:7" s="108" customFormat="1" ht="15.75" x14ac:dyDescent="0.25">
      <c r="A24" s="107" t="s">
        <v>276</v>
      </c>
      <c r="B24" s="107"/>
      <c r="C24" s="107"/>
      <c r="D24" s="107"/>
      <c r="E24" s="107"/>
      <c r="F24" s="107"/>
      <c r="G24" s="107"/>
    </row>
    <row r="25" spans="1:7" s="108" customFormat="1" ht="15.75" x14ac:dyDescent="0.25">
      <c r="A25" s="107"/>
      <c r="B25" s="107"/>
      <c r="C25" s="107"/>
      <c r="D25" s="107"/>
      <c r="E25" s="107"/>
      <c r="F25" s="107"/>
      <c r="G25" s="107"/>
    </row>
    <row r="26" spans="1:7" s="108" customFormat="1" ht="15.75" x14ac:dyDescent="0.25">
      <c r="A26" s="107" t="s">
        <v>179</v>
      </c>
      <c r="B26" s="107"/>
      <c r="C26" s="107"/>
      <c r="D26" s="107"/>
      <c r="E26" s="107"/>
      <c r="F26" s="107"/>
      <c r="G26" s="107"/>
    </row>
    <row r="27" spans="1:7" s="104" customFormat="1" ht="15.75" x14ac:dyDescent="0.25">
      <c r="A27" s="110" t="s">
        <v>106</v>
      </c>
      <c r="B27" s="111">
        <f>IF(('Cost of Attendance'!D27="n"),'Cost of Attendance'!J15,'Cost of Attendance'!J13)</f>
        <v>45565</v>
      </c>
      <c r="C27" s="103"/>
      <c r="D27" s="103"/>
      <c r="E27" s="103"/>
      <c r="F27" s="103"/>
      <c r="G27" s="103"/>
    </row>
    <row r="28" spans="1:7" s="104" customFormat="1" ht="15.75" x14ac:dyDescent="0.25">
      <c r="A28" s="110" t="s">
        <v>107</v>
      </c>
      <c r="B28" s="111">
        <f>IF(('Cost of Attendance'!D27="n"),'Cost of Attendance'!J16,'Cost of Attendance'!J14)</f>
        <v>45928</v>
      </c>
      <c r="C28" s="103"/>
      <c r="D28" s="103"/>
      <c r="E28" s="103"/>
      <c r="F28" s="103"/>
      <c r="G28" s="103"/>
    </row>
    <row r="29" spans="1:7" x14ac:dyDescent="0.2">
      <c r="A29" s="93"/>
      <c r="B29" s="93"/>
      <c r="C29" s="93"/>
      <c r="D29" s="93"/>
      <c r="E29" s="93"/>
      <c r="F29" s="93"/>
      <c r="G29" s="93"/>
    </row>
    <row r="30" spans="1:7" ht="15.75" x14ac:dyDescent="0.25">
      <c r="A30" s="107" t="s">
        <v>275</v>
      </c>
      <c r="B30" s="93"/>
      <c r="C30" s="93"/>
      <c r="D30" s="93"/>
      <c r="E30" s="93"/>
      <c r="F30" s="93"/>
      <c r="G30" s="93"/>
    </row>
    <row r="31" spans="1:7" s="104" customFormat="1" ht="16.5" thickBot="1" x14ac:dyDescent="0.3">
      <c r="A31" s="113" t="s">
        <v>180</v>
      </c>
      <c r="B31" s="112">
        <f>'Cost of Attendance'!E91</f>
        <v>0</v>
      </c>
      <c r="C31" s="103"/>
      <c r="D31" s="103"/>
      <c r="E31" s="103"/>
      <c r="F31" s="103"/>
      <c r="G31" s="103"/>
    </row>
    <row r="32" spans="1:7" ht="13.5" thickTop="1" x14ac:dyDescent="0.2">
      <c r="A32" s="93"/>
      <c r="B32" s="116"/>
      <c r="C32" s="93"/>
      <c r="D32" s="93"/>
      <c r="E32" s="93"/>
      <c r="F32" s="93"/>
      <c r="G32" s="93"/>
    </row>
    <row r="33" spans="1:7" ht="15.75" x14ac:dyDescent="0.25">
      <c r="A33" s="107" t="s">
        <v>112</v>
      </c>
      <c r="B33" s="116"/>
      <c r="C33" s="93"/>
      <c r="D33" s="93"/>
      <c r="E33" s="93"/>
      <c r="F33" s="93"/>
      <c r="G33" s="93"/>
    </row>
    <row r="34" spans="1:7" s="104" customFormat="1" ht="15.75" x14ac:dyDescent="0.25">
      <c r="A34" s="111">
        <f>'Cost of Attendance'!M13</f>
        <v>45565</v>
      </c>
      <c r="B34" s="112">
        <f>B31</f>
        <v>0</v>
      </c>
      <c r="C34" s="103"/>
      <c r="D34" s="103"/>
      <c r="E34" s="103"/>
      <c r="F34" s="103"/>
      <c r="G34" s="103"/>
    </row>
    <row r="35" spans="1:7" s="104" customFormat="1" ht="15.75" x14ac:dyDescent="0.25">
      <c r="A35" s="111"/>
      <c r="B35" s="112"/>
      <c r="C35" s="103"/>
      <c r="D35" s="103"/>
      <c r="E35" s="103"/>
      <c r="F35" s="103"/>
      <c r="G35" s="103"/>
    </row>
    <row r="36" spans="1:7" s="104" customFormat="1" ht="15.75" x14ac:dyDescent="0.25">
      <c r="A36" s="111"/>
      <c r="B36" s="112"/>
      <c r="C36" s="103"/>
      <c r="D36" s="103"/>
      <c r="E36" s="103"/>
      <c r="F36" s="103"/>
      <c r="G36" s="103"/>
    </row>
    <row r="37" spans="1:7" s="104" customFormat="1" ht="15.75" x14ac:dyDescent="0.25">
      <c r="A37" s="111"/>
      <c r="B37" s="112"/>
      <c r="C37" s="103"/>
      <c r="D37" s="103"/>
      <c r="E37" s="103"/>
      <c r="F37" s="103"/>
      <c r="G37" s="103"/>
    </row>
    <row r="38" spans="1:7" s="104" customFormat="1" ht="16.5" thickBot="1" x14ac:dyDescent="0.3">
      <c r="A38" s="114" t="s">
        <v>86</v>
      </c>
      <c r="B38" s="112">
        <f>SUM(B34:B37)</f>
        <v>0</v>
      </c>
      <c r="C38" s="103"/>
      <c r="D38" s="103"/>
      <c r="E38" s="103"/>
      <c r="F38" s="103"/>
      <c r="G38" s="103"/>
    </row>
    <row r="39" spans="1:7" ht="13.5" thickTop="1" x14ac:dyDescent="0.2">
      <c r="A39" s="93"/>
      <c r="B39" s="93"/>
      <c r="C39" s="93"/>
      <c r="D39" s="93"/>
      <c r="E39" s="93"/>
      <c r="F39" s="93"/>
      <c r="G39" s="93"/>
    </row>
    <row r="40" spans="1:7" s="108" customFormat="1" ht="15.75" x14ac:dyDescent="0.25">
      <c r="A40" s="107" t="s">
        <v>113</v>
      </c>
      <c r="B40" s="107"/>
      <c r="C40" s="107"/>
      <c r="D40" s="107"/>
      <c r="E40" s="107"/>
      <c r="F40" s="107"/>
      <c r="G40" s="107"/>
    </row>
    <row r="41" spans="1:7" s="108" customFormat="1" ht="15.75" x14ac:dyDescent="0.25">
      <c r="A41" s="107" t="s">
        <v>124</v>
      </c>
      <c r="B41" s="107"/>
      <c r="C41" s="107"/>
      <c r="D41" s="107"/>
      <c r="E41" s="107"/>
      <c r="F41" s="107"/>
      <c r="G41" s="107"/>
    </row>
    <row r="42" spans="1:7" s="108" customFormat="1" ht="15.75" x14ac:dyDescent="0.25">
      <c r="A42" s="107" t="s">
        <v>125</v>
      </c>
      <c r="B42" s="107"/>
      <c r="C42" s="107"/>
      <c r="D42" s="107"/>
      <c r="E42" s="107"/>
      <c r="F42" s="107"/>
      <c r="G42" s="107"/>
    </row>
    <row r="43" spans="1:7" s="108" customFormat="1" ht="15.75" x14ac:dyDescent="0.25">
      <c r="A43" s="108" t="s">
        <v>114</v>
      </c>
      <c r="B43" s="107"/>
      <c r="C43" s="107"/>
      <c r="D43" s="107"/>
      <c r="E43" s="107"/>
      <c r="F43" s="107"/>
      <c r="G43" s="107"/>
    </row>
    <row r="44" spans="1:7" s="108" customFormat="1" ht="15.75" x14ac:dyDescent="0.25">
      <c r="A44" s="107" t="str">
        <f>(IF(('School DATA'!D26&gt;0),'School DATA'!D26,""))&amp;"    "&amp;(IF(('School DATA'!D30&gt;0),'School DATA'!D30,""))</f>
        <v>CP    ME</v>
      </c>
      <c r="B44" s="107"/>
      <c r="C44" s="107"/>
      <c r="D44" s="107"/>
      <c r="E44" s="107"/>
      <c r="F44" s="107"/>
      <c r="G44" s="107"/>
    </row>
    <row r="45" spans="1:7" s="108" customFormat="1" ht="15.75" x14ac:dyDescent="0.25">
      <c r="A45" s="107" t="str">
        <f>(IF(('School DATA'!D27&gt;0),'School DATA'!D27,""))&amp;"    "&amp;(IF(('School DATA'!D31&gt;0),'School DATA'!D31,""))</f>
        <v>CW    GP</v>
      </c>
      <c r="B45" s="107"/>
      <c r="C45" s="107"/>
      <c r="D45" s="107"/>
      <c r="E45" s="107"/>
      <c r="F45" s="107"/>
      <c r="G45" s="107"/>
    </row>
    <row r="46" spans="1:7" s="108" customFormat="1" ht="15.75" x14ac:dyDescent="0.25">
      <c r="A46" s="107" t="str">
        <f>(IF(('School DATA'!D28&gt;0),'School DATA'!D28,""))&amp;"    "&amp;(IF(('School DATA'!D32&gt;0),'School DATA'!D32,""))</f>
        <v xml:space="preserve">DO    </v>
      </c>
      <c r="B46" s="107"/>
      <c r="C46" s="107"/>
      <c r="D46" s="107"/>
      <c r="E46" s="107"/>
      <c r="F46" s="107"/>
      <c r="G46" s="107"/>
    </row>
    <row r="47" spans="1:7" s="108" customFormat="1" ht="15.75" x14ac:dyDescent="0.25">
      <c r="A47" s="107" t="str">
        <f>(IF(('School DATA'!D29&gt;0),'School DATA'!D29,""))&amp;"    "&amp;(IF(('School DATA'!D33&gt;0),'School DATA'!D33,""))</f>
        <v xml:space="preserve">SD    </v>
      </c>
      <c r="B47" s="107"/>
      <c r="C47" s="107"/>
      <c r="D47" s="107"/>
      <c r="E47" s="107"/>
      <c r="F47" s="107"/>
      <c r="G47" s="107"/>
    </row>
    <row r="48" spans="1:7" s="108" customFormat="1" ht="15.75" x14ac:dyDescent="0.25">
      <c r="C48" s="107"/>
      <c r="D48" s="107"/>
      <c r="E48" s="107"/>
      <c r="F48" s="107"/>
      <c r="G48" s="107"/>
    </row>
    <row r="49" spans="1:7" s="108" customFormat="1" ht="15.75" x14ac:dyDescent="0.25">
      <c r="A49" s="107" t="s">
        <v>115</v>
      </c>
      <c r="B49" s="107"/>
      <c r="C49" s="107"/>
      <c r="D49" s="107"/>
      <c r="E49" s="107"/>
      <c r="F49" s="107"/>
      <c r="G49" s="107"/>
    </row>
    <row r="50" spans="1:7" s="108" customFormat="1" ht="15.75" x14ac:dyDescent="0.25">
      <c r="B50" s="107"/>
      <c r="C50" s="107"/>
      <c r="D50" s="107"/>
      <c r="E50" s="107"/>
      <c r="F50" s="107"/>
      <c r="G50" s="107"/>
    </row>
    <row r="51" spans="1:7" s="108" customFormat="1" ht="15.75" x14ac:dyDescent="0.25">
      <c r="B51" s="107"/>
      <c r="C51" s="107"/>
      <c r="D51" s="107"/>
      <c r="E51" s="107"/>
      <c r="F51" s="107"/>
      <c r="G51" s="107"/>
    </row>
    <row r="52" spans="1:7" ht="15.75" x14ac:dyDescent="0.25">
      <c r="A52" s="108" t="s">
        <v>123</v>
      </c>
      <c r="B52" s="115">
        <f ca="1">TODAY()</f>
        <v>45406</v>
      </c>
      <c r="C52" s="93"/>
      <c r="D52" s="93"/>
      <c r="E52" s="93"/>
      <c r="F52" s="93"/>
      <c r="G52" s="93"/>
    </row>
    <row r="53" spans="1:7" ht="15.75" x14ac:dyDescent="0.25">
      <c r="A53" s="107"/>
      <c r="B53" s="93"/>
      <c r="C53" s="93"/>
      <c r="D53" s="93"/>
      <c r="E53" s="93"/>
      <c r="F53" s="93"/>
      <c r="G53" s="93"/>
    </row>
    <row r="54" spans="1:7" ht="15.75" x14ac:dyDescent="0.25">
      <c r="A54" s="107"/>
      <c r="B54" s="93"/>
      <c r="C54" s="93"/>
      <c r="D54" s="93"/>
      <c r="E54" s="93"/>
      <c r="F54" s="93"/>
      <c r="G54" s="93"/>
    </row>
    <row r="55" spans="1:7" ht="15.75" x14ac:dyDescent="0.25">
      <c r="A55" s="107"/>
      <c r="B55" s="93"/>
      <c r="C55" s="93"/>
      <c r="D55" s="93"/>
      <c r="E55" s="93"/>
      <c r="F55" s="93"/>
      <c r="G55" s="93"/>
    </row>
    <row r="56" spans="1:7" ht="15.75" x14ac:dyDescent="0.25">
      <c r="A56" s="107"/>
      <c r="B56" s="93"/>
      <c r="C56" s="93"/>
      <c r="D56" s="93"/>
      <c r="E56" s="93"/>
      <c r="F56" s="93"/>
      <c r="G56" s="93"/>
    </row>
    <row r="57" spans="1:7" ht="15.75" x14ac:dyDescent="0.25">
      <c r="A57" s="107"/>
      <c r="B57" s="93"/>
      <c r="C57" s="93"/>
      <c r="D57" s="93"/>
      <c r="E57" s="93"/>
      <c r="F57" s="93"/>
      <c r="G57" s="93"/>
    </row>
    <row r="58" spans="1:7" x14ac:dyDescent="0.2">
      <c r="A58" s="93"/>
      <c r="B58" s="93"/>
      <c r="C58" s="93"/>
      <c r="D58" s="93"/>
      <c r="E58" s="93"/>
      <c r="F58" s="93"/>
      <c r="G58" s="93"/>
    </row>
  </sheetData>
  <sheetProtection password="DFD0" sheet="1" objects="1" scenarios="1" selectLockedCells="1"/>
  <phoneticPr fontId="3" type="noConversion"/>
  <pageMargins left="0.7" right="0.7" top="0.75" bottom="0.75" header="0.3" footer="0.3"/>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6C6FD1F4A87D4F931711E6ADE62A59" ma:contentTypeVersion="10" ma:contentTypeDescription="Create a new document." ma:contentTypeScope="" ma:versionID="3e928270dfbe12b0068b1f00dda3e026">
  <xsd:schema xmlns:xsd="http://www.w3.org/2001/XMLSchema" xmlns:xs="http://www.w3.org/2001/XMLSchema" xmlns:p="http://schemas.microsoft.com/office/2006/metadata/properties" xmlns:ns2="579219ff-c5cd-4838-9df8-5f898a88cd35" targetNamespace="http://schemas.microsoft.com/office/2006/metadata/properties" ma:root="true" ma:fieldsID="2e8306d6b93328d03efd7e2161390e03" ns2:_="">
    <xsd:import namespace="579219ff-c5cd-4838-9df8-5f898a88cd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219ff-c5cd-4838-9df8-5f898a88c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2A2527-2F15-4B49-9E93-900E3DE37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219ff-c5cd-4838-9df8-5f898a88cd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8C3EAE-4A08-4DEE-A752-35CE38E6ADFC}">
  <ds:schemaRefs>
    <ds:schemaRef ds:uri="http://schemas.microsoft.com/sharepoint/v3/contenttype/forms"/>
  </ds:schemaRefs>
</ds:datastoreItem>
</file>

<file path=customXml/itemProps3.xml><?xml version="1.0" encoding="utf-8"?>
<ds:datastoreItem xmlns:ds="http://schemas.openxmlformats.org/officeDocument/2006/customXml" ds:itemID="{9474A8F0-C609-46D4-ACFE-5C2A9585F4CE}">
  <ds:schemaRefs>
    <ds:schemaRef ds:uri="http://schemas.microsoft.com/office/2006/metadata/properties"/>
    <ds:schemaRef ds:uri="http://purl.org/dc/dcmitype/"/>
    <ds:schemaRef ds:uri="579219ff-c5cd-4838-9df8-5f898a88cd35"/>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Home</vt:lpstr>
      <vt:lpstr>Introduction</vt:lpstr>
      <vt:lpstr>Basis of Costs</vt:lpstr>
      <vt:lpstr>Cost of Attendance</vt:lpstr>
      <vt:lpstr>School DATA</vt:lpstr>
      <vt:lpstr>Visa Letter (Office use only)</vt:lpstr>
      <vt:lpstr>Private (Office use only)</vt:lpstr>
      <vt:lpstr>'Cost of Attendance'!Print_Area</vt:lpstr>
      <vt:lpstr>'Private (Office use only)'!Print_Area</vt:lpstr>
      <vt:lpstr>'Visa Letter (Office use only)'!Print_Area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Ruane,G</dc:creator>
  <cp:lastModifiedBy>Ruane,G</cp:lastModifiedBy>
  <cp:lastPrinted>2021-06-23T16:27:48Z</cp:lastPrinted>
  <dcterms:created xsi:type="dcterms:W3CDTF">2009-04-02T10:59:38Z</dcterms:created>
  <dcterms:modified xsi:type="dcterms:W3CDTF">2024-04-24T15:19:39Z</dcterms:modified>
</cp:coreProperties>
</file>