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24226"/>
  <mc:AlternateContent xmlns:mc="http://schemas.openxmlformats.org/markup-compatibility/2006">
    <mc:Choice Requires="x15">
      <x15ac:absPath xmlns:x15ac="http://schemas.microsoft.com/office/spreadsheetml/2010/11/ac" url="C:\Users\RUANE\Downloads\"/>
    </mc:Choice>
  </mc:AlternateContent>
  <xr:revisionPtr revIDLastSave="0" documentId="13_ncr:1_{95CADB8F-9175-4729-B59A-02C994C21AF5}" xr6:coauthVersionLast="47" xr6:coauthVersionMax="47" xr10:uidLastSave="{00000000-0000-0000-0000-000000000000}"/>
  <bookViews>
    <workbookView xWindow="-110" yWindow="-110" windowWidth="19420" windowHeight="10300" tabRatio="676" xr2:uid="{00000000-000D-0000-FFFF-FFFF00000000}"/>
  </bookViews>
  <sheets>
    <sheet name="Home" sheetId="15" r:id="rId1"/>
    <sheet name="Introduction" sheetId="11" r:id="rId2"/>
    <sheet name="Basis of Costs" sheetId="12" r:id="rId3"/>
    <sheet name="Cost of Attendance" sheetId="1" r:id="rId4"/>
    <sheet name="School DATA" sheetId="14" state="hidden" r:id="rId5"/>
    <sheet name="Visa Letter (Office use only)" sheetId="10" r:id="rId6"/>
    <sheet name="Private (Office use only)" sheetId="13" state="hidden" r:id="rId7"/>
  </sheets>
  <definedNames>
    <definedName name="_xlnm._FilterDatabase" localSheetId="3" hidden="1">'Cost of Attendance'!$G$8:$G$10</definedName>
    <definedName name="_xlnm._FilterDatabase" localSheetId="4" hidden="1">'School DATA'!#REF!</definedName>
    <definedName name="_xlnm.Print_Area" localSheetId="3">'Cost of Attendance'!$A$1:$E$99</definedName>
    <definedName name="_xlnm.Print_Area" localSheetId="6">'Private (Office use only)'!$A$1:$B$52</definedName>
    <definedName name="_xlnm.Print_Area" localSheetId="5">'Visa Letter (Office use only)'!$A$1:$C$54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18" i="14"/>
  <c r="E22" i="14" s="1"/>
  <c r="C4" i="1"/>
  <c r="A12" i="13" s="1"/>
  <c r="E7" i="14"/>
  <c r="J16" i="1" s="1"/>
  <c r="E7" i="1"/>
  <c r="D54" i="1"/>
  <c r="A46" i="10"/>
  <c r="J42" i="14"/>
  <c r="I42" i="14"/>
  <c r="E25" i="14"/>
  <c r="C56" i="14"/>
  <c r="C57" i="14"/>
  <c r="D57" i="14"/>
  <c r="E57" i="14" s="1"/>
  <c r="J7" i="14"/>
  <c r="I11" i="14"/>
  <c r="I16" i="14"/>
  <c r="J19" i="14"/>
  <c r="J25" i="14"/>
  <c r="D41" i="14"/>
  <c r="E8" i="1"/>
  <c r="C86" i="1"/>
  <c r="D7" i="1"/>
  <c r="G50" i="1"/>
  <c r="H50" i="1" s="1"/>
  <c r="E11" i="14"/>
  <c r="D9" i="1" s="1"/>
  <c r="D51" i="1"/>
  <c r="D52" i="1"/>
  <c r="D53" i="1"/>
  <c r="D55" i="1"/>
  <c r="E55" i="1"/>
  <c r="D56" i="1"/>
  <c r="E56" i="1"/>
  <c r="D57" i="1"/>
  <c r="E57" i="1"/>
  <c r="I33" i="1"/>
  <c r="I34" i="1"/>
  <c r="I35" i="1"/>
  <c r="I36" i="1"/>
  <c r="K60" i="1"/>
  <c r="L52" i="1"/>
  <c r="M52" i="1"/>
  <c r="G24" i="1"/>
  <c r="G28" i="1" s="1"/>
  <c r="K62" i="1" s="1"/>
  <c r="G25" i="1"/>
  <c r="G26" i="1"/>
  <c r="G23" i="1"/>
  <c r="G27" i="1"/>
  <c r="H24" i="1"/>
  <c r="I24" i="1"/>
  <c r="H25" i="1"/>
  <c r="I25" i="1"/>
  <c r="H26" i="1"/>
  <c r="I26" i="1"/>
  <c r="H27" i="1"/>
  <c r="I23" i="1"/>
  <c r="I27" i="1"/>
  <c r="L53" i="1"/>
  <c r="M53" i="1"/>
  <c r="J78" i="1"/>
  <c r="C90" i="1" s="1"/>
  <c r="C97" i="1" s="1"/>
  <c r="L54" i="1"/>
  <c r="M54" i="1"/>
  <c r="C75" i="1"/>
  <c r="C73" i="1"/>
  <c r="C72" i="1"/>
  <c r="A2" i="10"/>
  <c r="A3" i="10"/>
  <c r="A4" i="10"/>
  <c r="A5" i="10"/>
  <c r="A6" i="10"/>
  <c r="A7" i="10"/>
  <c r="B15" i="10"/>
  <c r="B16" i="10"/>
  <c r="B17" i="10"/>
  <c r="J15" i="1"/>
  <c r="A37" i="10" s="1"/>
  <c r="B22" i="10"/>
  <c r="J13" i="1"/>
  <c r="J14" i="1"/>
  <c r="D10" i="1"/>
  <c r="J41" i="1"/>
  <c r="M13" i="1"/>
  <c r="A34" i="13" s="1"/>
  <c r="M14" i="1"/>
  <c r="M15" i="1"/>
  <c r="L13" i="1" s="1"/>
  <c r="A36" i="10"/>
  <c r="M16" i="1"/>
  <c r="N16" i="1"/>
  <c r="B37" i="10" s="1"/>
  <c r="A44" i="10"/>
  <c r="A45" i="10"/>
  <c r="A47" i="10"/>
  <c r="B52" i="10"/>
  <c r="A1" i="13"/>
  <c r="A2" i="13"/>
  <c r="A3" i="13"/>
  <c r="A4" i="13"/>
  <c r="A5" i="13"/>
  <c r="A6" i="13"/>
  <c r="B17" i="13"/>
  <c r="B18" i="13"/>
  <c r="B19" i="13"/>
  <c r="A44" i="13"/>
  <c r="A45" i="13"/>
  <c r="A46" i="13"/>
  <c r="A47" i="13"/>
  <c r="B52" i="13"/>
  <c r="E19" i="14"/>
  <c r="E20" i="14"/>
  <c r="E21" i="14"/>
  <c r="E23" i="14"/>
  <c r="E24" i="14"/>
  <c r="K27" i="1"/>
  <c r="L27" i="1"/>
  <c r="M27" i="1"/>
  <c r="C28" i="1"/>
  <c r="C29" i="1"/>
  <c r="I32" i="1"/>
  <c r="D43" i="1"/>
  <c r="D44" i="1"/>
  <c r="D45" i="1"/>
  <c r="D46" i="1"/>
  <c r="E49" i="1"/>
  <c r="C54" i="1"/>
  <c r="C55" i="1"/>
  <c r="C56" i="1"/>
  <c r="C57" i="1"/>
  <c r="C60" i="1"/>
  <c r="D60" i="1"/>
  <c r="C61" i="1"/>
  <c r="C62" i="1"/>
  <c r="C63" i="1"/>
  <c r="C64" i="1"/>
  <c r="C65" i="1"/>
  <c r="C66" i="1"/>
  <c r="C67" i="1"/>
  <c r="C68" i="1"/>
  <c r="C69" i="1"/>
  <c r="A70" i="1"/>
  <c r="C70" i="1"/>
  <c r="C76" i="1"/>
  <c r="C88" i="1"/>
  <c r="C95" i="1" s="1"/>
  <c r="C77" i="1"/>
  <c r="C80" i="1"/>
  <c r="D72" i="1"/>
  <c r="D56" i="14"/>
  <c r="E56" i="14" s="1"/>
  <c r="D91" i="1"/>
  <c r="A35" i="10"/>
  <c r="B27" i="13"/>
  <c r="G51" i="1"/>
  <c r="H51" i="1" s="1"/>
  <c r="G32" i="1"/>
  <c r="I41" i="1" s="1"/>
  <c r="H61" i="1" s="1"/>
  <c r="D62" i="1" s="1"/>
  <c r="N54" i="1"/>
  <c r="O54" i="1"/>
  <c r="N53" i="1"/>
  <c r="O53" i="1"/>
  <c r="J42" i="1"/>
  <c r="E90" i="1"/>
  <c r="B30" i="10" s="1"/>
  <c r="B90" i="1"/>
  <c r="B89" i="1"/>
  <c r="B96" i="1"/>
  <c r="E89" i="1"/>
  <c r="B29" i="10" s="1"/>
  <c r="C96" i="1"/>
  <c r="N52" i="1"/>
  <c r="O52" i="1"/>
  <c r="J43" i="1"/>
  <c r="E88" i="1"/>
  <c r="B88" i="1"/>
  <c r="B95" i="1"/>
  <c r="B28" i="10"/>
  <c r="J44" i="1"/>
  <c r="J45" i="1"/>
  <c r="G33" i="1" l="1"/>
  <c r="H32" i="1"/>
  <c r="H60" i="1" s="1"/>
  <c r="D61" i="1" s="1"/>
  <c r="G52" i="1"/>
  <c r="E91" i="1"/>
  <c r="N15" i="1" s="1"/>
  <c r="B36" i="10" s="1"/>
  <c r="I28" i="1"/>
  <c r="G78" i="1"/>
  <c r="C79" i="1" s="1"/>
  <c r="J16" i="14"/>
  <c r="H46" i="14" s="1"/>
  <c r="H47" i="14" s="1"/>
  <c r="D42" i="1"/>
  <c r="A34" i="10"/>
  <c r="G42" i="1"/>
  <c r="G41" i="1"/>
  <c r="H41" i="1" s="1"/>
  <c r="B23" i="10"/>
  <c r="B28" i="13"/>
  <c r="A10" i="10"/>
  <c r="H33" i="1" l="1"/>
  <c r="G34" i="1"/>
  <c r="I42" i="1"/>
  <c r="H62" i="1" s="1"/>
  <c r="D63" i="1" s="1"/>
  <c r="G53" i="1"/>
  <c r="H52" i="1"/>
  <c r="N13" i="1"/>
  <c r="B34" i="10" s="1"/>
  <c r="N14" i="1"/>
  <c r="B35" i="10" s="1"/>
  <c r="B31" i="13"/>
  <c r="B34" i="13" s="1"/>
  <c r="B38" i="13" s="1"/>
  <c r="B31" i="10"/>
  <c r="H48" i="14"/>
  <c r="H5" i="1" s="1"/>
  <c r="G43" i="1"/>
  <c r="H42" i="1"/>
  <c r="H53" i="1" l="1"/>
  <c r="G54" i="1"/>
  <c r="G36" i="1"/>
  <c r="H34" i="1"/>
  <c r="I43" i="1"/>
  <c r="H63" i="1" s="1"/>
  <c r="G35" i="1"/>
  <c r="H49" i="14"/>
  <c r="H50" i="14" s="1"/>
  <c r="H6" i="1" s="1"/>
  <c r="B38" i="10"/>
  <c r="C92" i="1"/>
  <c r="C93" i="1"/>
  <c r="G44" i="1"/>
  <c r="H43" i="1"/>
  <c r="H35" i="1" l="1"/>
  <c r="I44" i="1"/>
  <c r="H64" i="1" s="1"/>
  <c r="D65" i="1" s="1"/>
  <c r="D64" i="1"/>
  <c r="H36" i="1"/>
  <c r="I45" i="1"/>
  <c r="H65" i="1" s="1"/>
  <c r="D66" i="1" s="1"/>
  <c r="G55" i="1"/>
  <c r="H54" i="1"/>
  <c r="H44" i="1"/>
  <c r="G45" i="1"/>
  <c r="H45" i="1" s="1"/>
  <c r="H66" i="1" l="1"/>
  <c r="D67" i="1" s="1"/>
  <c r="G56" i="1"/>
  <c r="H56" i="1" s="1"/>
  <c r="H55" i="1"/>
  <c r="I37" i="1"/>
  <c r="H68" i="1" s="1"/>
  <c r="D69" i="1" s="1"/>
  <c r="H67" i="1" l="1"/>
  <c r="D68" i="1" l="1"/>
  <c r="C83" i="1"/>
  <c r="C84" i="1"/>
  <c r="H69" i="1"/>
  <c r="K59" i="1" l="1"/>
  <c r="K61" i="1" s="1"/>
  <c r="K63" i="1" s="1"/>
  <c r="D70" i="1"/>
  <c r="G77" i="1"/>
  <c r="C78" i="1" s="1"/>
  <c r="N61" i="1" l="1"/>
  <c r="L66" i="1"/>
  <c r="G87" i="1"/>
  <c r="H75" i="1"/>
  <c r="D76" i="1" s="1"/>
  <c r="M63" i="1" l="1"/>
  <c r="L65" i="1" s="1"/>
  <c r="L67" i="1" s="1"/>
  <c r="E76" i="1"/>
  <c r="H87" i="1"/>
  <c r="A88" i="1"/>
  <c r="N65" i="1" l="1"/>
  <c r="H76" i="1"/>
  <c r="G88" i="1"/>
  <c r="K73" i="1"/>
  <c r="A89" i="1" l="1"/>
  <c r="H88" i="1"/>
  <c r="D77" i="1"/>
  <c r="E77" i="1"/>
  <c r="M67" i="1"/>
  <c r="K70" i="1" s="1"/>
  <c r="I77" i="1" s="1"/>
  <c r="E78" i="1" s="1"/>
  <c r="K75" i="1" l="1"/>
  <c r="G89" i="1" s="1"/>
  <c r="H78" i="1"/>
  <c r="D79" i="1" l="1"/>
  <c r="H79" i="1"/>
  <c r="D80" i="1" s="1"/>
  <c r="H89" i="1"/>
  <c r="H90" i="1" s="1"/>
  <c r="A90" i="1"/>
  <c r="G90" i="1"/>
  <c r="A91" i="1" s="1"/>
</calcChain>
</file>

<file path=xl/sharedStrings.xml><?xml version="1.0" encoding="utf-8"?>
<sst xmlns="http://schemas.openxmlformats.org/spreadsheetml/2006/main" count="421" uniqueCount="376">
  <si>
    <t>Room - Rent</t>
  </si>
  <si>
    <t>Personal</t>
  </si>
  <si>
    <t>Cost of 2 return flights - write here - only in £</t>
  </si>
  <si>
    <t>Add any other essential costs - write here - only in £</t>
  </si>
  <si>
    <t>Books &amp; Copying</t>
  </si>
  <si>
    <t>Y</t>
  </si>
  <si>
    <t>N</t>
  </si>
  <si>
    <t>Application/Student Number</t>
  </si>
  <si>
    <t>Sub</t>
  </si>
  <si>
    <t>postgraduates</t>
  </si>
  <si>
    <t>Undergraduate1</t>
  </si>
  <si>
    <t>Undergraduate2</t>
  </si>
  <si>
    <t>Law</t>
  </si>
  <si>
    <t>Actual Loans</t>
  </si>
  <si>
    <t xml:space="preserve">Convert £ </t>
  </si>
  <si>
    <t>Already $</t>
  </si>
  <si>
    <t>Fees</t>
  </si>
  <si>
    <t>Sponsors</t>
  </si>
  <si>
    <t>School Aid</t>
  </si>
  <si>
    <t>UG Weeks</t>
  </si>
  <si>
    <t>Choice</t>
  </si>
  <si>
    <t>Year</t>
  </si>
  <si>
    <t>Undergraduate&gt;2</t>
  </si>
  <si>
    <t>Max CoA before Interview</t>
  </si>
  <si>
    <t>Cost of Attendance</t>
  </si>
  <si>
    <t>&amp; Loan Calculation</t>
  </si>
  <si>
    <t>$</t>
  </si>
  <si>
    <t>Tuition Fees</t>
  </si>
  <si>
    <t>Room</t>
  </si>
  <si>
    <t>Board</t>
  </si>
  <si>
    <t>Books</t>
  </si>
  <si>
    <t>Travel</t>
  </si>
  <si>
    <t>PG Weeke</t>
  </si>
  <si>
    <t>UG Costs</t>
  </si>
  <si>
    <t>PG Costs</t>
  </si>
  <si>
    <t>Max Loan Available</t>
  </si>
  <si>
    <t>Unsubsudised</t>
  </si>
  <si>
    <t>Total Cost of Attendance</t>
  </si>
  <si>
    <t>Other Essential Costs</t>
  </si>
  <si>
    <t>No of Weeks for Undergraduates</t>
  </si>
  <si>
    <t>No of Weeks for Postrgraduates</t>
  </si>
  <si>
    <t>Rate</t>
  </si>
  <si>
    <t>Unsub Depend</t>
  </si>
  <si>
    <t>Unsub Ind</t>
  </si>
  <si>
    <t>Deduct from "Need"</t>
  </si>
  <si>
    <t>Other Aid £UK</t>
  </si>
  <si>
    <t>Other Aid $USA</t>
  </si>
  <si>
    <t>STANDING DATA</t>
  </si>
  <si>
    <t>CoA</t>
  </si>
  <si>
    <t>Less EFC</t>
  </si>
  <si>
    <t>Sub Calc</t>
  </si>
  <si>
    <t>Unsub Calc</t>
  </si>
  <si>
    <t>Need for Sub</t>
  </si>
  <si>
    <t>SUB NEED</t>
  </si>
  <si>
    <t>UNSUB NEED</t>
  </si>
  <si>
    <t>Unsub available</t>
  </si>
  <si>
    <t>Need for Unsub</t>
  </si>
  <si>
    <t>PLUS Calc</t>
  </si>
  <si>
    <t>Subsidised - Adjusted by EFC</t>
  </si>
  <si>
    <t>Adjust for Sponsorship, Awards or other Aid</t>
  </si>
  <si>
    <t>n</t>
  </si>
  <si>
    <t>OK Statement</t>
  </si>
  <si>
    <t>Qualify 1</t>
  </si>
  <si>
    <t>Qualify 2</t>
  </si>
  <si>
    <t>Undergrad Courses which could get Postgrad funding</t>
  </si>
  <si>
    <t>I</t>
  </si>
  <si>
    <t>D</t>
  </si>
  <si>
    <t>Depend</t>
  </si>
  <si>
    <t>Address Line 1</t>
  </si>
  <si>
    <t>Address Line 2</t>
  </si>
  <si>
    <t>Address Line 3</t>
  </si>
  <si>
    <t>Address Line 4</t>
  </si>
  <si>
    <t>Zipcode / Postcode</t>
  </si>
  <si>
    <t>Email</t>
  </si>
  <si>
    <t>Date of Birth dd/mm/yyyy</t>
  </si>
  <si>
    <t>Full Social Security Number</t>
  </si>
  <si>
    <t>Family Name (Surname)</t>
  </si>
  <si>
    <t>THE COSTS YOU HAVE SUGGESTED ARE TOO HIGH TO BE ACCEPTABLE</t>
  </si>
  <si>
    <t>Subsidised</t>
  </si>
  <si>
    <t>Your Request</t>
  </si>
  <si>
    <t>Total Requested Cost of Attendance</t>
  </si>
  <si>
    <t>You are allowed to borrow up to the values above</t>
  </si>
  <si>
    <t>OK Statement 1</t>
  </si>
  <si>
    <t>OK Statement 2</t>
  </si>
  <si>
    <t>We will check everything you have provided with the USDE data and regulations</t>
  </si>
  <si>
    <t>You must provide evidence of your costs/needs before we can process your application</t>
  </si>
  <si>
    <t>Total</t>
  </si>
  <si>
    <t>Origination Fees</t>
  </si>
  <si>
    <t>Loan Type</t>
  </si>
  <si>
    <t>% Rate</t>
  </si>
  <si>
    <t>Loan Dates</t>
  </si>
  <si>
    <t>Undergrads</t>
  </si>
  <si>
    <t>Start</t>
  </si>
  <si>
    <t>End</t>
  </si>
  <si>
    <t>Postgrads</t>
  </si>
  <si>
    <t>Disburse Dates</t>
  </si>
  <si>
    <t>If everything is correct we will originate your loans and issue a certificate for visa application</t>
  </si>
  <si>
    <t>Provide evidence of your needs for any increase to  PLUS to be considered or borrow less in Section 6</t>
  </si>
  <si>
    <t>After Origination Fees You Get</t>
  </si>
  <si>
    <t>Notification of Student Loan</t>
  </si>
  <si>
    <t xml:space="preserve">This is to certify that </t>
  </si>
  <si>
    <t>Student Name</t>
  </si>
  <si>
    <t>Date of Birth (dd/mm/yyyy)</t>
  </si>
  <si>
    <t>Student/Applicant ID</t>
  </si>
  <si>
    <t>has been accepted in a degree-granting program (or otherwise eligible program) at our school.</t>
  </si>
  <si>
    <t>Based on our calculation of the student’s financial needs and Direct Loan eligibility for the loan period</t>
  </si>
  <si>
    <t>Start Date</t>
  </si>
  <si>
    <t>End Date</t>
  </si>
  <si>
    <t>Loan Amount</t>
  </si>
  <si>
    <t>Direct Subsidized Loan</t>
  </si>
  <si>
    <t>Direct Unsubsidized Loan</t>
  </si>
  <si>
    <t>Direct PLUS Loan</t>
  </si>
  <si>
    <t>The disbursement dates are as follows:</t>
  </si>
  <si>
    <t>This certificate is only valid</t>
  </si>
  <si>
    <t>by the person whose initials are ringed below</t>
  </si>
  <si>
    <t>and stamped by the Office stamp</t>
  </si>
  <si>
    <t>a. To make the process as speedy and as simple as possible</t>
  </si>
  <si>
    <t>b. To cut out the risk of your application being rejected and you having to start again</t>
  </si>
  <si>
    <t>There is nothing which tells the applicant that everything they need to do has been completed.</t>
  </si>
  <si>
    <t>There is nothing which tells the school that everything the applicant needs to do has been completed.</t>
  </si>
  <si>
    <t>You should also use the flowchart from our website to see the order in which you need to do each stage of your application</t>
  </si>
  <si>
    <t>5. It tells you how much of your loan will be retained by the government as origination fee</t>
  </si>
  <si>
    <t>6. It calculates the cost of the originations fees and increases the PLUS loan to cover them</t>
  </si>
  <si>
    <t>Date Issued</t>
  </si>
  <si>
    <t>if printed on school headed paper</t>
  </si>
  <si>
    <t>and signed across the coat of arms</t>
  </si>
  <si>
    <t>This spreadsheet is to help you and us</t>
  </si>
  <si>
    <t>Max Loans Allowed Adjusted for Fees</t>
  </si>
  <si>
    <t>Max Loan after grossing up for Fees adjustments</t>
  </si>
  <si>
    <t>put 2nd date</t>
  </si>
  <si>
    <t>put 3rd date or blank</t>
  </si>
  <si>
    <t>put 4th date or blank</t>
  </si>
  <si>
    <t>ONLY ENTER DATES</t>
  </si>
  <si>
    <t>VALUES ARE AUTOMATIC</t>
  </si>
  <si>
    <t>Cost of Attendance - How to use this spreadsheet</t>
  </si>
  <si>
    <t>Exchange Rate</t>
  </si>
  <si>
    <t>The cost of a single course pack (for the term) applied for each week which is more than sufficient for book purchase.</t>
  </si>
  <si>
    <t>2 return flights</t>
  </si>
  <si>
    <t>PC</t>
  </si>
  <si>
    <t>Visa application</t>
  </si>
  <si>
    <t>Visa Application and flights to interview</t>
  </si>
  <si>
    <t>PLUS Loan</t>
  </si>
  <si>
    <t>How these Costs are Calculated</t>
  </si>
  <si>
    <t>Year Dates</t>
  </si>
  <si>
    <t>These dates are set to minimise the risk of your loan being rejected by overlapping a previous year.</t>
  </si>
  <si>
    <t>Disbursement Dates</t>
  </si>
  <si>
    <t>Interest</t>
  </si>
  <si>
    <t>Rebate</t>
  </si>
  <si>
    <t>Actual</t>
  </si>
  <si>
    <t>Factor</t>
  </si>
  <si>
    <t>Total (after rounding, may be slightly higher than total of section 4)</t>
  </si>
  <si>
    <t>It is used to help you and the school in several ways</t>
  </si>
  <si>
    <t>Government Fees *** Deducted</t>
  </si>
  <si>
    <t>SCHOOL COMMENT ON YOUR PROPOSED COSTS &amp; ELIGIBLE LOANS</t>
  </si>
  <si>
    <t>Final</t>
  </si>
  <si>
    <t>Next review date for Exchange Rate</t>
  </si>
  <si>
    <t>Cost of two BA return flights Heathrow/LA  travelling at weekends and rounded up by £100 to nearest £100</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</si>
  <si>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</si>
  <si>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Total Eligible before adjustment for Fees</t>
  </si>
  <si>
    <t>MAXIMUM LOAN LEVELS AVAILABLE</t>
  </si>
  <si>
    <t>CONVERTING FEES AND CONTRIBUTIONS TO DOLLARS</t>
  </si>
  <si>
    <t>CONVERTING WEEKLY COSTS TO DOLLARS</t>
  </si>
  <si>
    <t>CONVERTING ANNUAL COSTS TO DOLLARS</t>
  </si>
  <si>
    <t>FINAL CALCULATIONS</t>
  </si>
  <si>
    <t>PLUS NEED</t>
  </si>
  <si>
    <t>Need for PLUS</t>
  </si>
  <si>
    <t>PLUS Available</t>
  </si>
  <si>
    <t>Requested Cost of Attendance (Values rounded)</t>
  </si>
  <si>
    <t>Sub available</t>
  </si>
  <si>
    <t>ORIG FEE INC</t>
  </si>
  <si>
    <t>Sub Orig Fee</t>
  </si>
  <si>
    <t>Unsub Orig Fee</t>
  </si>
  <si>
    <t>PLUS Orig fee</t>
  </si>
  <si>
    <t>DISBURSEMENTS</t>
  </si>
  <si>
    <t>ORIG FEE NOT INC</t>
  </si>
  <si>
    <t>Government Fees</t>
  </si>
  <si>
    <t xml:space="preserve">Your government takes an origination fee. </t>
  </si>
  <si>
    <t>State how much you would like to borrow for each loan type - adjust the figures in blue in the "Your Request" column</t>
  </si>
  <si>
    <t xml:space="preserve">Eligible students from the U.S. who attend our school may borrow private loans through Sallie Mae. </t>
  </si>
  <si>
    <t>We have certified a loan with Sallie Mae as follows:</t>
  </si>
  <si>
    <t>Sallie Mae Smart Loan</t>
  </si>
  <si>
    <t>RETAIL (Main Street) RATE - NOT INTERBANK RATE</t>
  </si>
  <si>
    <t>From July 2012 there is no Subsidised Loan for postgraduates</t>
  </si>
  <si>
    <t>Commission %</t>
  </si>
  <si>
    <t>Bank Number</t>
  </si>
  <si>
    <t>Bank 4</t>
  </si>
  <si>
    <t>Bank 5</t>
  </si>
  <si>
    <t>Bank 6</t>
  </si>
  <si>
    <t>Bank 7</t>
  </si>
  <si>
    <t>Bank 8</t>
  </si>
  <si>
    <t>Bank 9</t>
  </si>
  <si>
    <t>Bank 10</t>
  </si>
  <si>
    <t>Subsidised Loans</t>
  </si>
  <si>
    <t>Unsubsidised Loans</t>
  </si>
  <si>
    <t>PLUS Loans</t>
  </si>
  <si>
    <t>Origination Fee %</t>
  </si>
  <si>
    <t>Rebate %</t>
  </si>
  <si>
    <t>Which Academic Year is this</t>
  </si>
  <si>
    <t>Start day of the year</t>
  </si>
  <si>
    <t>When do think your undergraduates start to arrive (occupy their bedroom)</t>
  </si>
  <si>
    <t>Complete these dates</t>
  </si>
  <si>
    <t>What will be the dates your students get their disbursements</t>
  </si>
  <si>
    <t>Only put in the date against each term</t>
  </si>
  <si>
    <t>Term 1 [could be autumn or 1st semester]</t>
  </si>
  <si>
    <t>Term 3 [could be summer - after Easter]</t>
  </si>
  <si>
    <t>Term 2 [could be spring - after Christmas - or 2nd semester]</t>
  </si>
  <si>
    <t>Term 4 [could be the writing up term after May/June exams if you have such a term]</t>
  </si>
  <si>
    <t>When did you do this</t>
  </si>
  <si>
    <t>Write in the date</t>
  </si>
  <si>
    <t>person 1</t>
  </si>
  <si>
    <t>person 2</t>
  </si>
  <si>
    <t>person 3</t>
  </si>
  <si>
    <t>person 4</t>
  </si>
  <si>
    <t>person 5</t>
  </si>
  <si>
    <t>person 6</t>
  </si>
  <si>
    <t>person 7</t>
  </si>
  <si>
    <t>person 8</t>
  </si>
  <si>
    <t>If any bank showed a commission rate then enter it against that bank</t>
  </si>
  <si>
    <t>Complete this Fee Estimate</t>
  </si>
  <si>
    <t>Be absolutely sure you are looking at the right year</t>
  </si>
  <si>
    <t>Year format yyyy/yy</t>
  </si>
  <si>
    <t>Complete these Cost Estimates which are PER WEEK</t>
  </si>
  <si>
    <t>What is the highest charge for your halls of residence per week</t>
  </si>
  <si>
    <t>Only put in the staff you authorise</t>
  </si>
  <si>
    <t>Do not put in initials where you don't have staff</t>
  </si>
  <si>
    <t>What is your best estimate for book buying or photocopying or course packs per week</t>
  </si>
  <si>
    <t>What is your best estimate at travel costs for the area for a week</t>
  </si>
  <si>
    <t>What is your best estimate at the high-end going rate for a room per week in the area</t>
  </si>
  <si>
    <t>Your dates in COD might be earlier [to allow processing time]</t>
  </si>
  <si>
    <t>Undergrad weeks</t>
  </si>
  <si>
    <t>Worst case rates</t>
  </si>
  <si>
    <t>Look up these costs on the web</t>
  </si>
  <si>
    <t>SCHOOL INFORMATION</t>
  </si>
  <si>
    <t>MONEY INFORMATION</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</si>
  <si>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</si>
  <si>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AND/OR</t>
  </si>
  <si>
    <t>official end of summer term - ONLY if earlier</t>
  </si>
  <si>
    <t>For your information …</t>
  </si>
  <si>
    <t>Information sent by the US Dept of Ed to schools also includes all those who may not apply or enroll.</t>
  </si>
  <si>
    <t>The Basis of Costs tab shows you how we calculated the Cost of Attendance</t>
  </si>
  <si>
    <t>Worst combination goes to the CoA</t>
  </si>
  <si>
    <t>Worst Fee Rate</t>
  </si>
  <si>
    <t>What are the initials of your staff allowed to sign visa letters USE BLOCK CAPS</t>
  </si>
  <si>
    <t>which come from the US Dept of Education and are administered through this school.</t>
  </si>
  <si>
    <t>When - long after the first disbursement - will you review the exchange rate</t>
  </si>
  <si>
    <t>Travelcard/Transport Costs</t>
  </si>
  <si>
    <t>What is your normal family shopping for a week and adjust for one adult</t>
  </si>
  <si>
    <t>PC and Printer</t>
  </si>
  <si>
    <t>Postgrad weeks</t>
  </si>
  <si>
    <t>Year 1</t>
  </si>
  <si>
    <t>Year 2</t>
  </si>
  <si>
    <t>Year 3</t>
  </si>
  <si>
    <t>Year 4</t>
  </si>
  <si>
    <t>Dependent Unsubsidised</t>
  </si>
  <si>
    <t>Independent Unsubsidised</t>
  </si>
  <si>
    <t xml:space="preserve">Worst case costs at worst exchange </t>
  </si>
  <si>
    <t>and inflated by 10%</t>
  </si>
  <si>
    <t>plus worst origination rates</t>
  </si>
  <si>
    <t>When did you complete this form</t>
  </si>
  <si>
    <t>This form and exchange rates revised</t>
  </si>
  <si>
    <t>Enter the Tuition Fees - only write the figures - don't type in the £ sign as it is already formatted</t>
  </si>
  <si>
    <t>Max Loans allowed before review</t>
  </si>
  <si>
    <t>School's Estimate per week</t>
  </si>
  <si>
    <t>School's Estimate per Year</t>
  </si>
  <si>
    <t>YOUR ESTIMATED FINAL COSTS &amp; US ED DEPT MAXIMUM LOAN ELIGIBILITY - YOU MAY BORROW LESS IF YOU CHOOSE</t>
  </si>
  <si>
    <t>Private Loan</t>
  </si>
  <si>
    <t>Government Loan</t>
  </si>
  <si>
    <t>Is this application for a Private loan (Sallie Mae), please select from this drop-box</t>
  </si>
  <si>
    <t>What is your best estimate for electricity/gas for a week (use our own home direct debits?)</t>
  </si>
  <si>
    <t>Do NOT put in a date where you don't have a disbursement</t>
  </si>
  <si>
    <t>FOR SCHOOL USE ONLY</t>
  </si>
  <si>
    <t>PG T1</t>
  </si>
  <si>
    <t>PG T2</t>
  </si>
  <si>
    <t>PG T3</t>
  </si>
  <si>
    <t>PG T4</t>
  </si>
  <si>
    <t xml:space="preserve"> the student will receive the following Private Loan awards:</t>
  </si>
  <si>
    <t>The School certifies the value of these loans and receives the disbursements to give to the student.</t>
  </si>
  <si>
    <t>First, Check the prices of all halls of residence and select the highest below self-contained suite. Second, search for the average price of a room in a shared flat and for a studio flat in the close area (use the web and general estate agent searches). Select the higher average price of the two scenarios.</t>
  </si>
  <si>
    <t>Normal cost of one return journey for 7 days or a weekly travel card covering the area, whichever is the greater</t>
  </si>
  <si>
    <t>Date of Birth</t>
  </si>
  <si>
    <t>To ensure that your application is as smooth as possible, you must complete the Cost of Attendance spreadsheet and the checklist</t>
  </si>
  <si>
    <t>DON'T TOUCH THE BLUE BOXES - They are calculations going to other parts of this workbook</t>
  </si>
  <si>
    <t>School to Complete ONLY the yellow boxes</t>
  </si>
  <si>
    <t>Postgraduates - The loan year will be 365 days</t>
  </si>
  <si>
    <t>Do not write the name of any bank</t>
  </si>
  <si>
    <t>Visa costs plus cost of midweek return next day flight US New York to LA and rounded</t>
  </si>
  <si>
    <t>Academic Year Calculations</t>
  </si>
  <si>
    <t>Calculates max allowed before prroof of costs needed</t>
  </si>
  <si>
    <t>Calculates exchange rate for CoA</t>
  </si>
  <si>
    <t>Calculates school CoA</t>
  </si>
  <si>
    <t>Go to the banks near you and collect their exchange rates</t>
  </si>
  <si>
    <t>How much of the tuition fees will be paid to your school by a sponsor (only enter in the $ or £ box - not both)</t>
  </si>
  <si>
    <t>How much has been awarded by any other Scholarship or Financial Aid in the UK</t>
  </si>
  <si>
    <t>How much has been awarded by any other Scholarship or Financial Aid from the USA</t>
  </si>
  <si>
    <t>If you are a PhD student starting later in the year, use the tab "late PhD Cost of Attendance"</t>
  </si>
  <si>
    <t>You must complete and send us the spreadsheet "Cost of Attendance" tab</t>
  </si>
  <si>
    <t>Given Name (Forename)</t>
  </si>
  <si>
    <t>Maximum Govt. Loan you can borrow</t>
  </si>
  <si>
    <t>3 or above</t>
  </si>
  <si>
    <t>Calculates gross loan to cash</t>
  </si>
  <si>
    <t>Loan values eligible</t>
  </si>
  <si>
    <t>The information in the FSA Handbook is confusing so use another site to confirm details</t>
  </si>
  <si>
    <t>Payment periods - terms</t>
  </si>
  <si>
    <t>Indep Undergrad Score</t>
  </si>
  <si>
    <t>MAXIMUM LOAN LEVELS FOR THIS STU</t>
  </si>
  <si>
    <t>Worst possible rate for Retail US Dollar Rate - best guess</t>
  </si>
  <si>
    <t>Your Request  -  you may reduce these values</t>
  </si>
  <si>
    <t>Full name of your course</t>
  </si>
  <si>
    <t>What will be your year of study - select from the dropbox only</t>
  </si>
  <si>
    <t>How much has already been awarded by this school as a Scholarship or Financial Aid</t>
  </si>
  <si>
    <t>Independent Undergraduates are not eligible for a PLUS Loan</t>
  </si>
  <si>
    <t>You could have borrowed these Govt. Loans</t>
  </si>
  <si>
    <t>Avg highest Tuition Fee charged in London for MSc</t>
  </si>
  <si>
    <t>Calculating fields for late starters - do not adjust these fields</t>
  </si>
  <si>
    <t>These are 15/16 - If you know levels have changed, go to the USDE website and find the loan levels for each type of student</t>
  </si>
  <si>
    <t>These are 01 Oct 2014 - If they've changed, go to the USDE website and check origination/rebates for each loan type and adjust below</t>
  </si>
  <si>
    <t>weeks</t>
  </si>
  <si>
    <t>PG</t>
  </si>
  <si>
    <t>UG</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</si>
  <si>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</si>
  <si>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Undergraduates - The loan year will be start of academic year to end of final term</t>
  </si>
  <si>
    <t>only 6 banks would accept or exchange dollars</t>
  </si>
  <si>
    <t>midweek return flights with BA from  Los Angeles to London</t>
  </si>
  <si>
    <t>midweek return flight for visa interview Los Angeles to New York</t>
  </si>
  <si>
    <t>Visa £322 and NHS charge £150.00</t>
  </si>
  <si>
    <t>COMPLETE ALL YELLOW BOXES ONLY</t>
  </si>
  <si>
    <t>DO</t>
  </si>
  <si>
    <t xml:space="preserve">We participate in the William D. Ford Federal Direct Loan (Direct Loan) Program administered by the United States (U.S.) Department of Education. 
Eligible students from the U.S. who attend our school may borrow through the Direct Loan Program. 
Undergraduate students and graduate/professional students may receive Direct Subsidized Loans and Direct Unsubsidized Loans.
Graduate/professional students and parents may receive Direct PLUS Loans. 
</t>
  </si>
  <si>
    <t>CP</t>
  </si>
  <si>
    <t>LONDON</t>
  </si>
  <si>
    <t>CW</t>
  </si>
  <si>
    <t xml:space="preserve">Has been accepted in a degree-granting programme(or otherwise eligible programme) at our School </t>
  </si>
  <si>
    <t>SD</t>
  </si>
  <si>
    <r>
      <rPr>
        <b/>
        <u/>
        <sz val="11"/>
        <rFont val="Calibri"/>
        <family val="2"/>
      </rPr>
      <t xml:space="preserve">Please note: </t>
    </r>
    <r>
      <rPr>
        <sz val="11"/>
        <rFont val="Calibri"/>
        <family val="2"/>
      </rPr>
      <t xml:space="preserve">This is a summary of loans originated, however this </t>
    </r>
    <r>
      <rPr>
        <b/>
        <u/>
        <sz val="11"/>
        <rFont val="Calibri"/>
        <family val="2"/>
      </rPr>
      <t>is not</t>
    </r>
    <r>
      <rPr>
        <sz val="11"/>
        <rFont val="Calibri"/>
        <family val="2"/>
      </rPr>
      <t xml:space="preserve"> a guarantee of Federal student loans</t>
    </r>
  </si>
  <si>
    <t xml:space="preserve"> The student (or, in some cases, the student’s parent) will receive the following Direct Loan awards</t>
  </si>
  <si>
    <t>Section 1</t>
  </si>
  <si>
    <t xml:space="preserve">Is this course for BSc or BA or BLL? </t>
  </si>
  <si>
    <t>Section 2</t>
  </si>
  <si>
    <t>Please answer each question in this section</t>
  </si>
  <si>
    <t xml:space="preserve">Section 3 </t>
  </si>
  <si>
    <t>Section 4</t>
  </si>
  <si>
    <t>Section 5</t>
  </si>
  <si>
    <t xml:space="preserve">Section 6 </t>
  </si>
  <si>
    <t>Section 7</t>
  </si>
  <si>
    <t>Single Costs for the year - you may adjust or add extras in these columns</t>
  </si>
  <si>
    <t>you may be asked for proof of your extra needs</t>
  </si>
  <si>
    <t>Weekly Essential Costs - School Max Estimates - you can adjust the values but may be asked for proofs of your adjusted costs</t>
  </si>
  <si>
    <t>Section 8</t>
  </si>
  <si>
    <t xml:space="preserve">Section 9 Government Fees </t>
  </si>
  <si>
    <t>Cost of a laptop plus a printer</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</si>
  <si>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</si>
  <si>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</si>
  <si>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</si>
  <si>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</si>
  <si>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6. You tell us how much you want to borrow (Section 6) You adjust the figures shown in blue</t>
  </si>
  <si>
    <t>There are some documents which we have to receive before we can even start to certify or complete your loans</t>
  </si>
  <si>
    <t>When we will receive the required documents as outlined in the LSE Federal Studentg Aid Guide we will start the eligibility checking</t>
  </si>
  <si>
    <t>WARNING - THESE DATES ARE EXPECTED AND NOT ACTUAL</t>
  </si>
  <si>
    <t>Select</t>
  </si>
  <si>
    <t xml:space="preserve">Federal Direct Subsidised Loan </t>
  </si>
  <si>
    <t xml:space="preserve">Federal Direct Unsubsidised Loan </t>
  </si>
  <si>
    <t>Federal Direct PLUS (Parent/Graduate) Loans.</t>
  </si>
  <si>
    <t>Rate per https://studentaid.gov/understand-aid/types/loans/interest-rates</t>
  </si>
  <si>
    <t>What is your estimate for enough pocket money per week</t>
  </si>
  <si>
    <t>GP</t>
  </si>
  <si>
    <t>Housing</t>
  </si>
  <si>
    <t>Food and utilities</t>
  </si>
  <si>
    <t>ME</t>
  </si>
  <si>
    <t>Post Office</t>
  </si>
  <si>
    <t>XE</t>
  </si>
  <si>
    <t>M &amp; S</t>
  </si>
  <si>
    <t>What is you SAI Student Aid Index (top right of front page of SAR) Even zero must be entered</t>
  </si>
  <si>
    <t>What does your SAR say for "Personal cicumstances" Only answer I or D</t>
  </si>
  <si>
    <t>2025/26</t>
  </si>
  <si>
    <t>Laptop and printer</t>
  </si>
  <si>
    <t>1.34423 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</si>
</sst>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
    <numFmt numFmtId="165" formatCode="[$$-409]#,##0"/>
    <numFmt numFmtId="166" formatCode="&quot;£&quot;#,##0.00"/>
    <numFmt numFmtId="167" formatCode="[$$-409]#,##0.00"/>
    <numFmt numFmtId="168" formatCode="#,##0_ ;\-#,##0\ "/>
    <numFmt numFmtId="169" formatCode="[$$-409]#,##0;[Red][$$-409]#,##0"/>
    <numFmt numFmtId="170" formatCode="[$-F800]dddd\,\ mmmm\ dd\,\ yyyy"/>
    <numFmt numFmtId="171" formatCode="[$-809]d\ mmmm\ yyyy;@"/>
    <numFmt numFmtId="172" formatCode="[$$-409]#,##0.00;[Red][$$-409]#,##0.00"/>
    <numFmt numFmtId="173" formatCode="0.0000"/>
    <numFmt numFmtId="174" formatCode="0.0%"/>
    <numFmt numFmtId="175" formatCode="0.0000%"/>
  </numFmts>
  <fonts count="85" x14ac:knownFonts="1">
    <font>
      <sz val="10"/>
      <name val="Arial"/>
    </font>
    <font>
      <sz val="10"/>
      <name val="Arial"/>
    </font>
    <font>
      <b/>
      <sz val="10"/>
      <name val="Arial"/>
      <family val="2"/>
    </font>
    <font>
      <sz val="8"/>
      <name val="Arial"/>
      <family val="2"/>
    </font>
    <font>
      <sz val="10"/>
      <color indexed="12"/>
      <name val="Arial"/>
      <family val="2"/>
    </font>
    <font>
      <sz val="10"/>
      <name val="Arial"/>
      <family val="2"/>
    </font>
    <font>
      <u/>
      <sz val="7.5"/>
      <color indexed="12"/>
      <name val="Arial"/>
      <family val="2"/>
    </font>
    <font>
      <b/>
      <sz val="12"/>
      <color indexed="10"/>
      <name val="Arial"/>
      <family val="2"/>
    </font>
    <font>
      <sz val="10"/>
      <name val="Times New Roman"/>
      <family val="1"/>
    </font>
    <font>
      <b/>
      <sz val="10"/>
      <color indexed="10"/>
      <name val="Times New Roman"/>
      <family val="1"/>
    </font>
    <font>
      <b/>
      <sz val="12"/>
      <color indexed="10"/>
      <name val="Times New Roman"/>
      <family val="1"/>
    </font>
    <font>
      <b/>
      <sz val="12"/>
      <color indexed="12"/>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0"/>
      <name val="Times New Roman"/>
      <family val="1"/>
    </font>
    <font>
      <sz val="11"/>
      <name val="Calibri"/>
      <family val="2"/>
    </font>
    <font>
      <b/>
      <u/>
      <sz val="11"/>
      <name val="Calibri"/>
      <family val="2"/>
    </font>
    <font>
      <b/>
      <sz val="14"/>
      <color indexed="9"/>
      <name val="Arial"/>
      <family val="2"/>
    </font>
    <font>
      <sz val="14"/>
      <name val="Arial"/>
      <family val="2"/>
    </font>
    <font>
      <sz val="12"/>
      <name val="Arial"/>
      <family val="2"/>
    </font>
    <font>
      <b/>
      <sz val="12"/>
      <color indexed="12"/>
      <name val="Arial"/>
      <family val="2"/>
    </font>
    <font>
      <b/>
      <sz val="12"/>
      <color indexed="13"/>
      <name val="Arial"/>
      <family val="2"/>
    </font>
    <font>
      <sz val="12"/>
      <color indexed="12"/>
      <name val="Arial"/>
      <family val="2"/>
    </font>
    <font>
      <b/>
      <sz val="12"/>
      <color indexed="9"/>
      <name val="Arial"/>
      <family val="2"/>
    </font>
    <font>
      <b/>
      <sz val="12"/>
      <name val="Arial"/>
      <family val="2"/>
    </font>
    <font>
      <b/>
      <sz val="14"/>
      <color indexed="10"/>
      <name val="Arial"/>
      <family val="2"/>
    </font>
    <font>
      <b/>
      <i/>
      <sz val="9"/>
      <name val="Arial"/>
      <family val="2"/>
    </font>
    <font>
      <sz val="9"/>
      <name val="Arial"/>
      <family val="2"/>
    </font>
    <font>
      <b/>
      <sz val="9"/>
      <name val="Arial"/>
      <family val="2"/>
    </font>
    <font>
      <u/>
      <sz val="14"/>
      <color indexed="12"/>
      <name val="Arial"/>
      <family val="2"/>
    </font>
    <font>
      <b/>
      <sz val="14"/>
      <color indexed="12"/>
      <name val="Arial"/>
      <family val="2"/>
    </font>
    <font>
      <b/>
      <u/>
      <sz val="14"/>
      <color indexed="12"/>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indexed="48"/>
      <name val="Calibri"/>
      <family val="2"/>
      <scheme val="minor"/>
    </font>
    <font>
      <sz val="12"/>
      <name val="Calibri"/>
      <family val="2"/>
      <scheme val="minor"/>
    </font>
    <font>
      <b/>
      <sz val="14"/>
      <color indexed="10"/>
      <name val="Calibri"/>
      <family val="2"/>
      <scheme val="minor"/>
    </font>
    <font>
      <b/>
      <sz val="12"/>
      <name val="Calibri"/>
      <family val="2"/>
      <scheme val="minor"/>
    </font>
    <font>
      <b/>
      <sz val="18"/>
      <name val="Calibri"/>
      <family val="2"/>
      <scheme val="minor"/>
    </font>
    <font>
      <sz val="14"/>
      <name val="Calibri"/>
      <family val="2"/>
      <scheme val="minor"/>
    </font>
    <font>
      <b/>
      <sz val="14"/>
      <color indexed="12"/>
      <name val="Calibri"/>
      <family val="2"/>
      <scheme val="minor"/>
    </font>
    <font>
      <sz val="14"/>
      <color indexed="10"/>
      <name val="Calibri"/>
      <family val="2"/>
      <scheme val="minor"/>
    </font>
    <font>
      <b/>
      <sz val="12"/>
      <color indexed="12"/>
      <name val="Calibri"/>
      <family val="2"/>
      <scheme val="minor"/>
    </font>
    <font>
      <b/>
      <sz val="10"/>
      <color indexed="12"/>
      <name val="Calibri"/>
      <family val="2"/>
      <scheme val="minor"/>
    </font>
    <font>
      <b/>
      <sz val="12"/>
      <color indexed="10"/>
      <name val="Calibri"/>
      <family val="2"/>
      <scheme val="minor"/>
    </font>
    <font>
      <b/>
      <sz val="16"/>
      <color indexed="10"/>
      <name val="Calibri"/>
      <family val="2"/>
      <scheme val="minor"/>
    </font>
    <font>
      <b/>
      <i/>
      <sz val="16"/>
      <color indexed="9"/>
      <name val="Calibri"/>
      <family val="2"/>
      <scheme val="minor"/>
    </font>
    <font>
      <b/>
      <sz val="16"/>
      <color indexed="9"/>
      <name val="Calibri"/>
      <family val="2"/>
      <scheme val="minor"/>
    </font>
    <font>
      <b/>
      <sz val="16"/>
      <color indexed="17"/>
      <name val="Calibri"/>
      <family val="2"/>
      <scheme val="minor"/>
    </font>
    <font>
      <b/>
      <sz val="10"/>
      <color indexed="9"/>
      <name val="Calibri"/>
      <family val="2"/>
      <scheme val="minor"/>
    </font>
    <font>
      <b/>
      <i/>
      <sz val="8"/>
      <color indexed="9"/>
      <name val="Calibri"/>
      <family val="2"/>
      <scheme val="minor"/>
    </font>
    <font>
      <b/>
      <sz val="10"/>
      <color indexed="17"/>
      <name val="Calibri"/>
      <family val="2"/>
      <scheme val="minor"/>
    </font>
    <font>
      <b/>
      <sz val="8"/>
      <color indexed="9"/>
      <name val="Calibri"/>
      <family val="2"/>
      <scheme val="minor"/>
    </font>
    <font>
      <b/>
      <u/>
      <sz val="10"/>
      <color indexed="9"/>
      <name val="Calibri"/>
      <family val="2"/>
      <scheme val="minor"/>
    </font>
    <font>
      <sz val="10"/>
      <color indexed="9"/>
      <name val="Calibri"/>
      <family val="2"/>
      <scheme val="minor"/>
    </font>
    <font>
      <sz val="10"/>
      <color indexed="10"/>
      <name val="Calibri"/>
      <family val="2"/>
      <scheme val="minor"/>
    </font>
    <font>
      <sz val="10"/>
      <color indexed="17"/>
      <name val="Calibri"/>
      <family val="2"/>
      <scheme val="minor"/>
    </font>
    <font>
      <b/>
      <sz val="12"/>
      <color indexed="9"/>
      <name val="Calibri"/>
      <family val="2"/>
      <scheme val="minor"/>
    </font>
    <font>
      <sz val="12"/>
      <color indexed="10"/>
      <name val="Calibri"/>
      <family val="2"/>
      <scheme val="minor"/>
    </font>
    <font>
      <b/>
      <u/>
      <sz val="12"/>
      <color indexed="9"/>
      <name val="Calibri"/>
      <family val="2"/>
      <scheme val="minor"/>
    </font>
    <font>
      <sz val="12"/>
      <color indexed="9"/>
      <name val="Calibri"/>
      <family val="2"/>
      <scheme val="minor"/>
    </font>
    <font>
      <sz val="12"/>
      <color indexed="17"/>
      <name val="Calibri"/>
      <family val="2"/>
      <scheme val="minor"/>
    </font>
    <font>
      <b/>
      <sz val="14"/>
      <color indexed="9"/>
      <name val="Calibri"/>
      <family val="2"/>
      <scheme val="minor"/>
    </font>
    <font>
      <b/>
      <sz val="12"/>
      <color indexed="17"/>
      <name val="Calibri"/>
      <family val="2"/>
      <scheme val="minor"/>
    </font>
    <font>
      <b/>
      <sz val="14"/>
      <color indexed="17"/>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sz val="12"/>
      <color indexed="12"/>
      <name val="Calibri"/>
      <family val="2"/>
      <scheme val="minor"/>
    </font>
    <font>
      <b/>
      <sz val="14"/>
      <color theme="0"/>
      <name val="Arial"/>
      <family val="2"/>
    </font>
    <font>
      <b/>
      <sz val="12"/>
      <color theme="0"/>
      <name val="Arial"/>
      <family val="2"/>
    </font>
    <font>
      <b/>
      <sz val="14"/>
      <color rgb="FFFF0000"/>
      <name val="Arial"/>
      <family val="2"/>
    </font>
    <font>
      <sz val="11"/>
      <name val="Arial"/>
      <family val="2"/>
    </font>
  </fonts>
  <fills count="11">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60">
    <xf numFmtId="0" fontId="0" fillId="0" borderId="0" xfId="0"/>
    <xf numFmtId="43" fontId="0" fillId="0" borderId="0" xfId="1" applyFont="1" applyBorder="1" applyAlignment="1" applyProtection="1">
      <alignment horizontal="right"/>
    </xf>
    <xf numFmtId="0" fontId="9" fillId="0" borderId="0" xfId="0" applyFont="1" applyProtection="1"/>
    <xf numFmtId="0" fontId="8" fillId="0" borderId="0" xfId="0" applyFont="1" applyProtection="1"/>
    <xf numFmtId="0" fontId="11" fillId="2" borderId="0" xfId="0" applyFont="1" applyFill="1" applyProtection="1"/>
    <xf numFmtId="0" fontId="10" fillId="0" borderId="0" xfId="0" applyFont="1" applyProtection="1"/>
    <xf numFmtId="0" fontId="16" fillId="0" borderId="0" xfId="0" applyFont="1" applyProtection="1"/>
    <xf numFmtId="0" fontId="15" fillId="0" borderId="0" xfId="0" applyFont="1" applyProtection="1"/>
    <xf numFmtId="0" fontId="12" fillId="0" borderId="0" xfId="0" applyFont="1" applyAlignment="1" applyProtection="1">
      <alignment horizontal="center"/>
    </xf>
    <xf numFmtId="0" fontId="13"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right"/>
    </xf>
    <xf numFmtId="165" fontId="8" fillId="0" borderId="0" xfId="0" applyNumberFormat="1" applyFont="1" applyProtection="1"/>
    <xf numFmtId="0" fontId="17" fillId="0" borderId="0" xfId="0" applyFont="1" applyProtection="1"/>
    <xf numFmtId="0" fontId="17" fillId="0" borderId="0" xfId="0" applyFont="1" applyFill="1" applyProtection="1"/>
    <xf numFmtId="14" fontId="14" fillId="3" borderId="0" xfId="0" applyNumberFormat="1" applyFont="1" applyFill="1" applyProtection="1"/>
    <xf numFmtId="164" fontId="8" fillId="0" borderId="0" xfId="0" applyNumberFormat="1" applyFont="1" applyProtection="1"/>
    <xf numFmtId="164" fontId="14" fillId="3" borderId="0" xfId="0" applyNumberFormat="1" applyFont="1" applyFill="1" applyProtection="1"/>
    <xf numFmtId="166" fontId="13" fillId="0" borderId="0" xfId="0" applyNumberFormat="1" applyFont="1" applyProtection="1"/>
    <xf numFmtId="164" fontId="9" fillId="0" borderId="0" xfId="0" applyNumberFormat="1" applyFont="1" applyProtection="1"/>
    <xf numFmtId="0" fontId="14" fillId="3" borderId="0" xfId="0" applyFont="1" applyFill="1" applyProtection="1"/>
    <xf numFmtId="164" fontId="9" fillId="3" borderId="0" xfId="0" applyNumberFormat="1" applyFont="1" applyFill="1" applyProtection="1"/>
    <xf numFmtId="1" fontId="14" fillId="3" borderId="0" xfId="0" applyNumberFormat="1" applyFont="1" applyFill="1" applyProtection="1"/>
    <xf numFmtId="164" fontId="16" fillId="0" borderId="0" xfId="0" applyNumberFormat="1" applyFont="1" applyProtection="1"/>
    <xf numFmtId="164" fontId="13" fillId="0" borderId="0" xfId="1" applyNumberFormat="1" applyFont="1" applyBorder="1" applyAlignment="1" applyProtection="1">
      <alignment horizontal="center"/>
    </xf>
    <xf numFmtId="43" fontId="5" fillId="0" borderId="0" xfId="1" applyFont="1" applyBorder="1" applyAlignment="1" applyProtection="1">
      <alignment horizontal="right"/>
    </xf>
    <xf numFmtId="0" fontId="14" fillId="0" borderId="0" xfId="0" applyFont="1" applyFill="1" applyProtection="1"/>
    <xf numFmtId="0" fontId="9" fillId="0" borderId="0" xfId="0" applyFont="1" applyFill="1" applyProtection="1"/>
    <xf numFmtId="0" fontId="8" fillId="0" borderId="0" xfId="0" applyFont="1" applyAlignment="1" applyProtection="1">
      <alignment horizontal="center" vertical="center" wrapText="1"/>
    </xf>
    <xf numFmtId="165" fontId="14" fillId="3" borderId="0" xfId="0" applyNumberFormat="1" applyFont="1" applyFill="1" applyProtection="1"/>
    <xf numFmtId="165" fontId="14" fillId="3" borderId="1" xfId="0" applyNumberFormat="1" applyFont="1" applyFill="1" applyBorder="1" applyProtection="1"/>
    <xf numFmtId="165" fontId="14" fillId="3" borderId="2" xfId="0" applyNumberFormat="1" applyFont="1" applyFill="1" applyBorder="1" applyProtection="1"/>
    <xf numFmtId="166" fontId="13" fillId="2" borderId="0" xfId="0" applyNumberFormat="1" applyFont="1" applyFill="1" applyProtection="1"/>
    <xf numFmtId="14" fontId="13" fillId="2" borderId="0" xfId="0" applyNumberFormat="1" applyFont="1" applyFill="1" applyProtection="1"/>
    <xf numFmtId="43" fontId="4" fillId="2" borderId="0" xfId="1" applyFont="1" applyFill="1" applyBorder="1" applyAlignment="1" applyProtection="1">
      <alignment horizontal="right"/>
    </xf>
    <xf numFmtId="0" fontId="13" fillId="2" borderId="0" xfId="0" applyFont="1" applyFill="1" applyAlignment="1" applyProtection="1">
      <alignment horizontal="center"/>
    </xf>
    <xf numFmtId="167" fontId="13" fillId="2" borderId="0" xfId="0" applyNumberFormat="1" applyFont="1" applyFill="1" applyAlignment="1" applyProtection="1">
      <alignment horizontal="center"/>
    </xf>
    <xf numFmtId="0" fontId="13" fillId="2" borderId="0" xfId="0" applyFont="1" applyFill="1" applyAlignment="1" applyProtection="1">
      <alignment horizontal="right"/>
    </xf>
    <xf numFmtId="0" fontId="16" fillId="0" borderId="0" xfId="0" applyFont="1" applyAlignment="1" applyProtection="1">
      <alignment horizontal="center"/>
    </xf>
    <xf numFmtId="0" fontId="14" fillId="3" borderId="0" xfId="0" applyFont="1" applyFill="1" applyAlignment="1" applyProtection="1">
      <alignment horizontal="center"/>
    </xf>
    <xf numFmtId="0" fontId="9" fillId="0" borderId="0" xfId="0" applyFont="1" applyAlignment="1" applyProtection="1">
      <alignment horizontal="center"/>
    </xf>
    <xf numFmtId="0" fontId="8" fillId="2" borderId="0" xfId="0" applyFont="1" applyFill="1" applyAlignment="1" applyProtection="1">
      <alignment horizontal="center"/>
    </xf>
    <xf numFmtId="0" fontId="19" fillId="4" borderId="0" xfId="0" applyFont="1" applyFill="1" applyProtection="1"/>
    <xf numFmtId="0" fontId="20" fillId="4" borderId="0" xfId="0" applyFont="1" applyFill="1" applyProtection="1"/>
    <xf numFmtId="0" fontId="21" fillId="4" borderId="0" xfId="0" applyFont="1" applyFill="1" applyProtection="1"/>
    <xf numFmtId="0" fontId="22" fillId="0" borderId="0" xfId="0" applyFont="1" applyProtection="1"/>
    <xf numFmtId="0" fontId="23" fillId="0" borderId="0" xfId="0" applyFont="1" applyAlignment="1" applyProtection="1">
      <alignment horizontal="center"/>
    </xf>
    <xf numFmtId="0" fontId="10" fillId="0" borderId="0" xfId="0" applyFont="1" applyAlignment="1" applyProtection="1">
      <alignment horizontal="center"/>
    </xf>
    <xf numFmtId="0" fontId="17" fillId="0" borderId="0" xfId="0" applyFont="1" applyAlignment="1" applyProtection="1">
      <alignment horizontal="center"/>
    </xf>
    <xf numFmtId="0" fontId="23" fillId="4" borderId="0" xfId="0" applyFont="1" applyFill="1" applyAlignment="1" applyProtection="1">
      <alignment horizontal="center"/>
    </xf>
    <xf numFmtId="0" fontId="10" fillId="2" borderId="0" xfId="0" applyFont="1" applyFill="1" applyAlignment="1" applyProtection="1">
      <alignment horizontal="center"/>
    </xf>
    <xf numFmtId="0" fontId="12" fillId="3" borderId="0" xfId="0" applyFont="1" applyFill="1" applyAlignment="1" applyProtection="1">
      <alignment horizontal="center"/>
    </xf>
    <xf numFmtId="0" fontId="18" fillId="4" borderId="0" xfId="0" applyFont="1" applyFill="1" applyAlignment="1" applyProtection="1">
      <alignment horizontal="center"/>
    </xf>
    <xf numFmtId="170" fontId="13" fillId="2" borderId="0" xfId="0" applyNumberFormat="1" applyFont="1" applyFill="1" applyProtection="1"/>
    <xf numFmtId="0" fontId="8" fillId="4" borderId="0" xfId="0" applyFont="1" applyFill="1" applyProtection="1"/>
    <xf numFmtId="14" fontId="8" fillId="0" borderId="0" xfId="0" applyNumberFormat="1" applyFont="1" applyProtection="1"/>
    <xf numFmtId="1" fontId="41" fillId="5" borderId="3" xfId="1" applyNumberFormat="1" applyFont="1" applyFill="1" applyBorder="1" applyAlignment="1" applyProtection="1">
      <alignment horizontal="center"/>
    </xf>
    <xf numFmtId="1" fontId="41" fillId="5" borderId="0" xfId="1" applyNumberFormat="1" applyFont="1" applyFill="1" applyBorder="1" applyAlignment="1" applyProtection="1">
      <alignment horizontal="center"/>
    </xf>
    <xf numFmtId="1" fontId="41" fillId="0" borderId="0" xfId="1" applyNumberFormat="1" applyFont="1" applyBorder="1" applyAlignment="1" applyProtection="1">
      <alignment horizontal="center"/>
    </xf>
    <xf numFmtId="3" fontId="41" fillId="0" borderId="0" xfId="0" applyNumberFormat="1" applyFont="1" applyAlignment="1" applyProtection="1">
      <alignment horizontal="center"/>
    </xf>
    <xf numFmtId="164" fontId="41" fillId="0" borderId="0" xfId="1" applyNumberFormat="1" applyFont="1" applyAlignment="1" applyProtection="1">
      <alignment horizontal="center"/>
    </xf>
    <xf numFmtId="1" fontId="42" fillId="7" borderId="0" xfId="1" applyNumberFormat="1" applyFont="1" applyFill="1" applyAlignment="1" applyProtection="1">
      <alignment horizontal="center"/>
    </xf>
    <xf numFmtId="0" fontId="42" fillId="7" borderId="0" xfId="0" applyFont="1" applyFill="1" applyProtection="1"/>
    <xf numFmtId="43" fontId="42" fillId="7" borderId="0" xfId="1" applyFont="1" applyFill="1" applyAlignment="1" applyProtection="1">
      <alignment horizontal="center"/>
    </xf>
    <xf numFmtId="0" fontId="42" fillId="7" borderId="0" xfId="0" applyFont="1" applyFill="1" applyAlignment="1" applyProtection="1">
      <alignment horizontal="center"/>
    </xf>
    <xf numFmtId="43" fontId="42" fillId="7" borderId="0" xfId="1" applyFont="1" applyFill="1" applyAlignment="1" applyProtection="1">
      <alignment horizontal="right"/>
    </xf>
    <xf numFmtId="1" fontId="43" fillId="7" borderId="0" xfId="1" applyNumberFormat="1" applyFont="1" applyFill="1" applyAlignment="1" applyProtection="1">
      <alignment horizontal="center"/>
    </xf>
    <xf numFmtId="43" fontId="43" fillId="7" borderId="0" xfId="1" applyFont="1" applyFill="1" applyAlignment="1" applyProtection="1">
      <alignment horizontal="center"/>
    </xf>
    <xf numFmtId="0" fontId="43" fillId="7" borderId="0" xfId="0" applyFont="1" applyFill="1" applyAlignment="1" applyProtection="1">
      <alignment horizontal="center"/>
    </xf>
    <xf numFmtId="0" fontId="43" fillId="7" borderId="0" xfId="0" applyFont="1" applyFill="1" applyProtection="1"/>
    <xf numFmtId="43" fontId="44" fillId="7" borderId="0" xfId="1" applyFont="1" applyFill="1" applyAlignment="1" applyProtection="1">
      <alignment horizontal="right"/>
    </xf>
    <xf numFmtId="0" fontId="43" fillId="7" borderId="0" xfId="0" applyFont="1" applyFill="1" applyAlignment="1" applyProtection="1">
      <alignment horizontal="right"/>
    </xf>
    <xf numFmtId="170" fontId="45" fillId="7" borderId="0" xfId="1" applyNumberFormat="1" applyFont="1" applyFill="1" applyAlignment="1" applyProtection="1"/>
    <xf numFmtId="170" fontId="45" fillId="7" borderId="0" xfId="1" applyNumberFormat="1" applyFont="1" applyFill="1" applyAlignment="1" applyProtection="1">
      <alignment horizontal="right"/>
    </xf>
    <xf numFmtId="43" fontId="43" fillId="7" borderId="0" xfId="1" applyFont="1" applyFill="1" applyAlignment="1" applyProtection="1">
      <alignment horizontal="right"/>
    </xf>
    <xf numFmtId="43" fontId="41" fillId="7" borderId="0" xfId="1" applyFont="1" applyFill="1" applyAlignment="1" applyProtection="1">
      <alignment horizontal="right"/>
    </xf>
    <xf numFmtId="170" fontId="45" fillId="7" borderId="0" xfId="0" applyNumberFormat="1" applyFont="1" applyFill="1" applyAlignment="1" applyProtection="1"/>
    <xf numFmtId="168" fontId="41" fillId="7" borderId="0" xfId="1" applyNumberFormat="1" applyFont="1" applyFill="1" applyAlignment="1" applyProtection="1">
      <alignment horizontal="right"/>
    </xf>
    <xf numFmtId="1" fontId="41" fillId="7" borderId="0" xfId="1" applyNumberFormat="1" applyFont="1" applyFill="1" applyAlignment="1" applyProtection="1">
      <alignment horizontal="center"/>
    </xf>
    <xf numFmtId="43" fontId="41" fillId="7" borderId="0" xfId="1" applyFont="1" applyFill="1" applyProtection="1"/>
    <xf numFmtId="43" fontId="41" fillId="7" borderId="0" xfId="1" applyFont="1" applyFill="1" applyAlignment="1" applyProtection="1">
      <alignment horizontal="center"/>
    </xf>
    <xf numFmtId="0" fontId="41" fillId="7" borderId="0" xfId="0" applyFont="1" applyFill="1" applyAlignment="1" applyProtection="1">
      <alignment horizontal="center"/>
    </xf>
    <xf numFmtId="1" fontId="41" fillId="0" borderId="0" xfId="0" applyNumberFormat="1" applyFont="1" applyAlignment="1" applyProtection="1">
      <alignment horizontal="center"/>
    </xf>
    <xf numFmtId="0" fontId="41" fillId="0" borderId="0" xfId="0" applyFont="1" applyAlignment="1" applyProtection="1">
      <alignment horizontal="center"/>
    </xf>
    <xf numFmtId="0" fontId="41" fillId="0" borderId="0" xfId="0" applyFont="1" applyProtection="1"/>
    <xf numFmtId="1" fontId="41" fillId="0" borderId="0" xfId="0" applyNumberFormat="1" applyFont="1" applyAlignment="1" applyProtection="1">
      <alignment horizontal="center"/>
      <protection locked="0"/>
    </xf>
    <xf numFmtId="0" fontId="41" fillId="0" borderId="0" xfId="0" applyFont="1" applyProtection="1">
      <protection locked="0"/>
    </xf>
    <xf numFmtId="167" fontId="46" fillId="0" borderId="0" xfId="0" applyNumberFormat="1" applyFont="1" applyAlignment="1" applyProtection="1">
      <alignment horizontal="center"/>
      <protection locked="0"/>
    </xf>
    <xf numFmtId="0" fontId="47" fillId="7" borderId="0" xfId="0" applyFont="1" applyFill="1" applyBorder="1"/>
    <xf numFmtId="0" fontId="41" fillId="7" borderId="0" xfId="0" applyFont="1" applyFill="1" applyBorder="1" applyAlignment="1">
      <alignment vertical="center" wrapText="1"/>
    </xf>
    <xf numFmtId="0" fontId="41" fillId="7" borderId="0" xfId="0" applyFont="1" applyFill="1" applyBorder="1"/>
    <xf numFmtId="0" fontId="41" fillId="7" borderId="0" xfId="0" applyFont="1" applyFill="1" applyBorder="1" applyAlignment="1">
      <alignment vertical="center"/>
    </xf>
    <xf numFmtId="0" fontId="48" fillId="0" borderId="0" xfId="0" applyFont="1" applyAlignment="1" applyProtection="1">
      <alignment horizontal="center"/>
      <protection hidden="1"/>
    </xf>
    <xf numFmtId="0" fontId="41" fillId="0" borderId="0" xfId="0" applyFont="1" applyProtection="1">
      <protection hidden="1"/>
    </xf>
    <xf numFmtId="0" fontId="41" fillId="0" borderId="0" xfId="0" applyFont="1"/>
    <xf numFmtId="49" fontId="48" fillId="0" borderId="0" xfId="0" applyNumberFormat="1" applyFont="1" applyAlignment="1" applyProtection="1">
      <alignment horizontal="center"/>
      <protection hidden="1"/>
    </xf>
    <xf numFmtId="49"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49" fillId="0" borderId="0" xfId="0" applyFont="1" applyAlignment="1" applyProtection="1">
      <alignment horizontal="left"/>
      <protection hidden="1"/>
    </xf>
    <xf numFmtId="43" fontId="49" fillId="0" borderId="0" xfId="0" applyNumberFormat="1" applyFont="1" applyAlignment="1" applyProtection="1">
      <alignment horizontal="left"/>
      <protection hidden="1"/>
    </xf>
    <xf numFmtId="0" fontId="50" fillId="0" borderId="0" xfId="0" applyFont="1" applyProtection="1">
      <protection hidden="1"/>
    </xf>
    <xf numFmtId="0" fontId="48" fillId="0" borderId="4" xfId="0" applyFont="1" applyBorder="1" applyAlignment="1" applyProtection="1">
      <alignment horizontal="center" vertical="top" wrapText="1"/>
      <protection hidden="1"/>
    </xf>
    <xf numFmtId="0" fontId="48" fillId="0" borderId="4" xfId="0" applyFont="1" applyBorder="1" applyAlignment="1">
      <alignment horizontal="center"/>
    </xf>
    <xf numFmtId="0" fontId="48" fillId="0" borderId="0" xfId="0" applyFont="1" applyProtection="1">
      <protection hidden="1"/>
    </xf>
    <xf numFmtId="0" fontId="48" fillId="0" borderId="0" xfId="0" applyFont="1"/>
    <xf numFmtId="171" fontId="48" fillId="0" borderId="4" xfId="0" applyNumberFormat="1" applyFont="1" applyBorder="1" applyAlignment="1" applyProtection="1">
      <alignment horizontal="center"/>
      <protection hidden="1"/>
    </xf>
    <xf numFmtId="49" fontId="48" fillId="0" borderId="4" xfId="0" applyNumberFormat="1" applyFont="1" applyBorder="1" applyAlignment="1" applyProtection="1">
      <alignment horizontal="center"/>
      <protection hidden="1"/>
    </xf>
    <xf numFmtId="0" fontId="46" fillId="0" borderId="0" xfId="0" applyFont="1" applyProtection="1">
      <protection hidden="1"/>
    </xf>
    <xf numFmtId="0" fontId="46" fillId="0" borderId="0" xfId="0" applyFont="1"/>
    <xf numFmtId="0" fontId="46" fillId="0" borderId="0" xfId="0" applyNumberFormat="1" applyFont="1" applyProtection="1">
      <protection hidden="1"/>
    </xf>
    <xf numFmtId="0" fontId="48" fillId="0" borderId="4" xfId="0" applyFont="1" applyBorder="1" applyAlignment="1" applyProtection="1">
      <alignment horizontal="center"/>
      <protection hidden="1"/>
    </xf>
    <xf numFmtId="170" fontId="48" fillId="0" borderId="4" xfId="0" applyNumberFormat="1" applyFont="1" applyBorder="1" applyAlignment="1" applyProtection="1">
      <alignment horizontal="center"/>
      <protection hidden="1"/>
    </xf>
    <xf numFmtId="167" fontId="48" fillId="0" borderId="4" xfId="0" applyNumberFormat="1" applyFont="1" applyBorder="1" applyAlignment="1" applyProtection="1">
      <alignment horizontal="center"/>
      <protection hidden="1"/>
    </xf>
    <xf numFmtId="0" fontId="48" fillId="0" borderId="5" xfId="0" applyFont="1" applyBorder="1" applyAlignment="1" applyProtection="1">
      <alignment horizontal="center" vertical="top" wrapText="1"/>
      <protection hidden="1"/>
    </xf>
    <xf numFmtId="0" fontId="48" fillId="0" borderId="5" xfId="0" applyFont="1" applyBorder="1" applyAlignment="1" applyProtection="1">
      <alignment horizontal="center"/>
      <protection hidden="1"/>
    </xf>
    <xf numFmtId="171" fontId="46" fillId="0" borderId="0" xfId="0" applyNumberFormat="1" applyFont="1" applyAlignment="1" applyProtection="1">
      <alignment horizontal="left"/>
      <protection hidden="1"/>
    </xf>
    <xf numFmtId="0" fontId="41" fillId="0" borderId="0" xfId="0" applyNumberFormat="1" applyFont="1" applyProtection="1">
      <protection hidden="1"/>
    </xf>
    <xf numFmtId="0" fontId="52" fillId="7" borderId="0" xfId="0" applyFont="1" applyFill="1"/>
    <xf numFmtId="0" fontId="41" fillId="7" borderId="0" xfId="0" applyFont="1" applyFill="1"/>
    <xf numFmtId="0" fontId="48" fillId="7" borderId="0" xfId="0" applyFont="1" applyFill="1"/>
    <xf numFmtId="0" fontId="44" fillId="7" borderId="0" xfId="0" applyFont="1" applyFill="1"/>
    <xf numFmtId="0" fontId="54" fillId="7" borderId="0" xfId="0" applyFont="1" applyFill="1" applyAlignment="1">
      <alignment horizontal="left" indent="5"/>
    </xf>
    <xf numFmtId="0" fontId="54" fillId="7" borderId="0" xfId="0" applyFont="1" applyFill="1" applyAlignment="1">
      <alignment horizontal="center"/>
    </xf>
    <xf numFmtId="0" fontId="55" fillId="7" borderId="0" xfId="0" applyFont="1" applyFill="1" applyAlignment="1">
      <alignment horizontal="left" indent="5"/>
    </xf>
    <xf numFmtId="43" fontId="41" fillId="7" borderId="0" xfId="1" applyFont="1" applyFill="1" applyBorder="1" applyProtection="1"/>
    <xf numFmtId="0" fontId="56" fillId="7" borderId="0" xfId="0" applyFont="1" applyFill="1" applyAlignment="1" applyProtection="1">
      <alignment horizontal="center"/>
    </xf>
    <xf numFmtId="0" fontId="57" fillId="7" borderId="0" xfId="0" applyFont="1" applyFill="1" applyProtection="1"/>
    <xf numFmtId="0" fontId="58" fillId="7" borderId="0" xfId="0" applyFont="1" applyFill="1" applyProtection="1"/>
    <xf numFmtId="0" fontId="56" fillId="7" borderId="0" xfId="0" applyFont="1" applyFill="1" applyProtection="1"/>
    <xf numFmtId="0" fontId="59" fillId="7" borderId="0" xfId="0" applyFont="1" applyFill="1" applyProtection="1"/>
    <xf numFmtId="0" fontId="42" fillId="0" borderId="0" xfId="0" applyFont="1" applyProtection="1"/>
    <xf numFmtId="0" fontId="44" fillId="7" borderId="0" xfId="0" applyFont="1" applyFill="1" applyAlignment="1" applyProtection="1">
      <alignment horizontal="center"/>
    </xf>
    <xf numFmtId="0" fontId="60" fillId="7" borderId="0" xfId="0" applyFont="1" applyFill="1" applyProtection="1"/>
    <xf numFmtId="0" fontId="61" fillId="7" borderId="0" xfId="0" applyFont="1" applyFill="1" applyProtection="1"/>
    <xf numFmtId="0" fontId="44" fillId="7" borderId="0" xfId="0" applyFont="1" applyFill="1" applyProtection="1"/>
    <xf numFmtId="0" fontId="62" fillId="7" borderId="0" xfId="0" applyFont="1" applyFill="1" applyProtection="1"/>
    <xf numFmtId="0" fontId="43" fillId="0" borderId="0" xfId="0" applyFont="1" applyProtection="1"/>
    <xf numFmtId="15" fontId="44" fillId="7" borderId="0" xfId="0" applyNumberFormat="1" applyFont="1" applyFill="1" applyAlignment="1" applyProtection="1">
      <alignment horizontal="center"/>
    </xf>
    <xf numFmtId="165" fontId="60" fillId="7" borderId="0" xfId="0" applyNumberFormat="1" applyFont="1" applyFill="1" applyProtection="1"/>
    <xf numFmtId="0" fontId="63" fillId="7" borderId="0" xfId="0" applyFont="1" applyFill="1" applyProtection="1"/>
    <xf numFmtId="0" fontId="64" fillId="7" borderId="0" xfId="0" applyFont="1" applyFill="1" applyAlignment="1" applyProtection="1">
      <alignment horizontal="center"/>
    </xf>
    <xf numFmtId="0" fontId="65" fillId="7" borderId="0" xfId="0" applyFont="1" applyFill="1" applyAlignment="1" applyProtection="1">
      <alignment horizontal="center"/>
    </xf>
    <xf numFmtId="0" fontId="66" fillId="7" borderId="0" xfId="0" applyFont="1" applyFill="1" applyAlignment="1" applyProtection="1">
      <alignment horizontal="center"/>
    </xf>
    <xf numFmtId="0" fontId="65" fillId="7" borderId="0" xfId="0" applyFont="1" applyFill="1" applyProtection="1"/>
    <xf numFmtId="0" fontId="66" fillId="7" borderId="0" xfId="0" applyFont="1" applyFill="1" applyProtection="1"/>
    <xf numFmtId="0" fontId="67" fillId="7" borderId="0" xfId="0" applyFont="1" applyFill="1" applyProtection="1"/>
    <xf numFmtId="0" fontId="41" fillId="7" borderId="0" xfId="0" applyFont="1" applyFill="1" applyProtection="1"/>
    <xf numFmtId="0" fontId="65" fillId="7" borderId="0" xfId="0" applyFont="1" applyFill="1"/>
    <xf numFmtId="0" fontId="66" fillId="7" borderId="0" xfId="0" applyFont="1" applyFill="1" applyBorder="1" applyAlignment="1" applyProtection="1">
      <alignment horizontal="center"/>
    </xf>
    <xf numFmtId="0" fontId="68" fillId="7" borderId="0" xfId="0" applyFont="1" applyFill="1" applyProtection="1"/>
    <xf numFmtId="15" fontId="65" fillId="7" borderId="0" xfId="0" applyNumberFormat="1" applyFont="1" applyFill="1" applyProtection="1"/>
    <xf numFmtId="1" fontId="65" fillId="7" borderId="0" xfId="0" applyNumberFormat="1" applyFont="1" applyFill="1" applyAlignment="1" applyProtection="1">
      <alignment horizontal="center"/>
    </xf>
    <xf numFmtId="14" fontId="65" fillId="7" borderId="0" xfId="0" applyNumberFormat="1" applyFont="1" applyFill="1" applyAlignment="1" applyProtection="1">
      <alignment horizontal="center"/>
    </xf>
    <xf numFmtId="172" fontId="65" fillId="7" borderId="0" xfId="0" applyNumberFormat="1" applyFont="1" applyFill="1" applyProtection="1"/>
    <xf numFmtId="0" fontId="69" fillId="7" borderId="0" xfId="0" applyFont="1" applyFill="1" applyBorder="1" applyAlignment="1" applyProtection="1">
      <alignment horizontal="center"/>
    </xf>
    <xf numFmtId="0" fontId="70" fillId="7" borderId="0" xfId="0" applyFont="1" applyFill="1" applyAlignment="1" applyProtection="1">
      <alignment horizontal="right"/>
    </xf>
    <xf numFmtId="0" fontId="70" fillId="7" borderId="0" xfId="0" applyFont="1" applyFill="1" applyAlignment="1" applyProtection="1">
      <alignment horizontal="center"/>
    </xf>
    <xf numFmtId="0" fontId="71" fillId="7" borderId="0" xfId="0" applyFont="1" applyFill="1" applyProtection="1"/>
    <xf numFmtId="0" fontId="69" fillId="7" borderId="0" xfId="0" applyFont="1" applyFill="1" applyProtection="1"/>
    <xf numFmtId="165" fontId="65" fillId="7" borderId="0" xfId="0" applyNumberFormat="1" applyFont="1" applyFill="1" applyAlignment="1" applyProtection="1">
      <alignment horizontal="right"/>
    </xf>
    <xf numFmtId="165" fontId="65" fillId="7" borderId="0" xfId="0" applyNumberFormat="1" applyFont="1" applyFill="1" applyProtection="1"/>
    <xf numFmtId="0" fontId="72" fillId="7" borderId="0" xfId="0" applyFont="1" applyFill="1" applyProtection="1"/>
    <xf numFmtId="0" fontId="46" fillId="7" borderId="0" xfId="0" applyFont="1" applyFill="1" applyProtection="1"/>
    <xf numFmtId="0" fontId="46" fillId="0" borderId="0" xfId="0" applyFont="1" applyProtection="1"/>
    <xf numFmtId="0" fontId="65" fillId="7" borderId="0" xfId="0" applyFont="1" applyFill="1" applyAlignment="1" applyProtection="1">
      <alignment horizontal="right"/>
    </xf>
    <xf numFmtId="0" fontId="64" fillId="7" borderId="0" xfId="0" applyFont="1" applyFill="1" applyProtection="1"/>
    <xf numFmtId="3" fontId="66" fillId="7" borderId="0" xfId="0" applyNumberFormat="1" applyFont="1" applyFill="1" applyBorder="1" applyAlignment="1" applyProtection="1">
      <alignment horizontal="center"/>
    </xf>
    <xf numFmtId="165" fontId="60" fillId="7" borderId="0" xfId="0" applyNumberFormat="1" applyFont="1" applyFill="1" applyAlignment="1" applyProtection="1">
      <alignment horizontal="center"/>
    </xf>
    <xf numFmtId="43" fontId="65" fillId="7" borderId="0" xfId="0" applyNumberFormat="1" applyFont="1" applyFill="1" applyAlignment="1" applyProtection="1">
      <alignment horizontal="right"/>
    </xf>
    <xf numFmtId="169" fontId="66" fillId="7" borderId="0" xfId="0" applyNumberFormat="1" applyFont="1" applyFill="1" applyBorder="1" applyAlignment="1" applyProtection="1">
      <alignment horizontal="center"/>
    </xf>
    <xf numFmtId="3" fontId="69" fillId="7" borderId="0" xfId="0" applyNumberFormat="1" applyFont="1" applyFill="1" applyAlignment="1" applyProtection="1">
      <alignment horizontal="center"/>
    </xf>
    <xf numFmtId="0" fontId="71" fillId="7" borderId="0" xfId="0" applyFont="1" applyFill="1" applyAlignment="1" applyProtection="1">
      <alignment horizontal="right"/>
    </xf>
    <xf numFmtId="165" fontId="71" fillId="7" borderId="0" xfId="0" applyNumberFormat="1" applyFont="1" applyFill="1" applyProtection="1"/>
    <xf numFmtId="165" fontId="68" fillId="7" borderId="0" xfId="0" applyNumberFormat="1" applyFont="1" applyFill="1" applyProtection="1"/>
    <xf numFmtId="3" fontId="66" fillId="7" borderId="0" xfId="0" applyNumberFormat="1" applyFont="1" applyFill="1" applyAlignment="1" applyProtection="1">
      <alignment horizontal="center"/>
    </xf>
    <xf numFmtId="3" fontId="55" fillId="7" borderId="0" xfId="0" applyNumberFormat="1" applyFont="1" applyFill="1" applyBorder="1" applyAlignment="1" applyProtection="1">
      <alignment horizontal="center"/>
    </xf>
    <xf numFmtId="0" fontId="65" fillId="7" borderId="0" xfId="0" applyFont="1" applyFill="1" applyAlignment="1" applyProtection="1">
      <alignment horizontal="left"/>
    </xf>
    <xf numFmtId="3" fontId="66" fillId="7" borderId="0" xfId="0" applyNumberFormat="1" applyFont="1" applyFill="1" applyBorder="1" applyAlignment="1" applyProtection="1">
      <alignment horizontal="left"/>
    </xf>
    <xf numFmtId="43" fontId="65" fillId="7" borderId="0" xfId="0" applyNumberFormat="1" applyFont="1" applyFill="1" applyProtection="1"/>
    <xf numFmtId="2" fontId="65" fillId="7" borderId="0" xfId="0" applyNumberFormat="1" applyFont="1" applyFill="1" applyProtection="1"/>
    <xf numFmtId="173" fontId="65" fillId="7" borderId="0" xfId="0" applyNumberFormat="1" applyFont="1" applyFill="1" applyProtection="1"/>
    <xf numFmtId="3" fontId="55" fillId="7" borderId="0" xfId="0" applyNumberFormat="1" applyFont="1" applyFill="1" applyAlignment="1" applyProtection="1">
      <alignment horizontal="center"/>
    </xf>
    <xf numFmtId="3" fontId="68" fillId="7" borderId="0" xfId="0" applyNumberFormat="1" applyFont="1" applyFill="1" applyAlignment="1" applyProtection="1">
      <alignment horizontal="center"/>
    </xf>
    <xf numFmtId="3" fontId="56" fillId="7" borderId="0" xfId="0" applyNumberFormat="1" applyFont="1" applyFill="1" applyAlignment="1" applyProtection="1">
      <alignment horizontal="center"/>
    </xf>
    <xf numFmtId="43" fontId="58" fillId="7" borderId="0" xfId="1" applyFont="1" applyFill="1" applyBorder="1" applyAlignment="1" applyProtection="1"/>
    <xf numFmtId="3" fontId="58" fillId="7" borderId="0" xfId="1" applyNumberFormat="1" applyFont="1" applyFill="1" applyAlignment="1" applyProtection="1">
      <alignment horizontal="center"/>
    </xf>
    <xf numFmtId="167" fontId="65" fillId="7" borderId="0" xfId="0" applyNumberFormat="1" applyFont="1" applyFill="1" applyProtection="1"/>
    <xf numFmtId="167" fontId="69" fillId="7" borderId="0" xfId="0" applyNumberFormat="1" applyFont="1" applyFill="1" applyAlignment="1" applyProtection="1">
      <alignment horizontal="center"/>
    </xf>
    <xf numFmtId="43" fontId="65" fillId="7" borderId="0" xfId="1" applyFont="1" applyFill="1" applyAlignment="1" applyProtection="1"/>
    <xf numFmtId="167" fontId="65" fillId="7" borderId="0" xfId="1" applyNumberFormat="1" applyFont="1" applyFill="1" applyAlignment="1" applyProtection="1"/>
    <xf numFmtId="0" fontId="65" fillId="7" borderId="0" xfId="0" applyFont="1" applyFill="1" applyAlignment="1" applyProtection="1"/>
    <xf numFmtId="167" fontId="60" fillId="7" borderId="0" xfId="0" applyNumberFormat="1" applyFont="1" applyFill="1" applyProtection="1"/>
    <xf numFmtId="167" fontId="65" fillId="7" borderId="6" xfId="1" applyNumberFormat="1" applyFont="1" applyFill="1" applyBorder="1" applyAlignment="1" applyProtection="1"/>
    <xf numFmtId="167" fontId="55" fillId="7" borderId="0" xfId="0" applyNumberFormat="1" applyFont="1" applyFill="1" applyAlignment="1" applyProtection="1">
      <alignment horizontal="center"/>
    </xf>
    <xf numFmtId="43" fontId="60" fillId="7" borderId="0" xfId="1" applyFont="1" applyFill="1" applyAlignment="1" applyProtection="1"/>
    <xf numFmtId="167" fontId="60" fillId="7" borderId="0" xfId="1" applyNumberFormat="1" applyFont="1" applyFill="1" applyBorder="1" applyAlignment="1" applyProtection="1"/>
    <xf numFmtId="0" fontId="60" fillId="7" borderId="0" xfId="0" applyFont="1" applyFill="1" applyAlignment="1" applyProtection="1"/>
    <xf numFmtId="43" fontId="68" fillId="7" borderId="2" xfId="1" applyFont="1" applyFill="1" applyBorder="1" applyAlignment="1" applyProtection="1"/>
    <xf numFmtId="167" fontId="60" fillId="7" borderId="2" xfId="0" applyNumberFormat="1" applyFont="1" applyFill="1" applyBorder="1" applyAlignment="1" applyProtection="1"/>
    <xf numFmtId="167" fontId="65" fillId="7" borderId="0" xfId="0" applyNumberFormat="1" applyFont="1" applyFill="1" applyAlignment="1" applyProtection="1"/>
    <xf numFmtId="0" fontId="70" fillId="7" borderId="0" xfId="0" applyFont="1" applyFill="1" applyProtection="1"/>
    <xf numFmtId="43" fontId="58" fillId="7" borderId="0" xfId="1" applyFont="1" applyFill="1" applyAlignment="1" applyProtection="1"/>
    <xf numFmtId="43" fontId="58" fillId="7" borderId="0" xfId="1" applyFont="1" applyFill="1" applyAlignment="1" applyProtection="1">
      <alignment horizontal="center"/>
    </xf>
    <xf numFmtId="167" fontId="65" fillId="7" borderId="0" xfId="0" applyNumberFormat="1" applyFont="1" applyFill="1" applyBorder="1" applyProtection="1"/>
    <xf numFmtId="0" fontId="65" fillId="7" borderId="0" xfId="0" applyFont="1" applyFill="1" applyBorder="1" applyProtection="1"/>
    <xf numFmtId="4" fontId="65" fillId="7" borderId="0" xfId="0" applyNumberFormat="1" applyFont="1" applyFill="1" applyBorder="1" applyProtection="1"/>
    <xf numFmtId="167" fontId="65" fillId="7" borderId="0" xfId="0" applyNumberFormat="1" applyFont="1" applyFill="1" applyAlignment="1" applyProtection="1">
      <alignment horizontal="right"/>
    </xf>
    <xf numFmtId="167" fontId="60" fillId="7" borderId="2" xfId="1" applyNumberFormat="1" applyFont="1" applyFill="1" applyBorder="1" applyAlignment="1" applyProtection="1"/>
    <xf numFmtId="0" fontId="68" fillId="7" borderId="0" xfId="0" applyFont="1" applyFill="1" applyAlignment="1" applyProtection="1">
      <alignment horizontal="center"/>
    </xf>
    <xf numFmtId="167" fontId="71" fillId="7" borderId="0" xfId="0" applyNumberFormat="1" applyFont="1" applyFill="1" applyAlignment="1" applyProtection="1">
      <alignment horizontal="center"/>
    </xf>
    <xf numFmtId="167" fontId="55" fillId="7" borderId="0" xfId="0" applyNumberFormat="1" applyFont="1" applyFill="1" applyBorder="1" applyAlignment="1" applyProtection="1">
      <alignment horizontal="center"/>
    </xf>
    <xf numFmtId="0" fontId="73" fillId="7" borderId="0" xfId="0" applyFont="1" applyFill="1" applyAlignment="1" applyProtection="1">
      <alignment horizontal="center"/>
    </xf>
    <xf numFmtId="0" fontId="55" fillId="7" borderId="0" xfId="0" applyFont="1" applyFill="1" applyAlignment="1" applyProtection="1">
      <alignment horizontal="center"/>
    </xf>
    <xf numFmtId="0" fontId="73" fillId="7" borderId="0" xfId="0" applyFont="1" applyFill="1" applyAlignment="1" applyProtection="1">
      <alignment horizontal="left"/>
    </xf>
    <xf numFmtId="0" fontId="47" fillId="7" borderId="0" xfId="0" applyFont="1" applyFill="1" applyAlignment="1" applyProtection="1">
      <alignment horizontal="center"/>
    </xf>
    <xf numFmtId="0" fontId="74" fillId="7" borderId="0" xfId="0" applyFont="1" applyFill="1" applyAlignment="1" applyProtection="1">
      <alignment horizontal="center"/>
    </xf>
    <xf numFmtId="0" fontId="48" fillId="7" borderId="0" xfId="0" applyFont="1" applyFill="1" applyAlignment="1" applyProtection="1">
      <alignment horizontal="center"/>
    </xf>
    <xf numFmtId="0" fontId="48" fillId="0" borderId="0" xfId="0" applyFont="1" applyAlignment="1" applyProtection="1">
      <alignment horizontal="center"/>
    </xf>
    <xf numFmtId="0" fontId="75" fillId="7" borderId="0" xfId="0" applyFont="1" applyFill="1" applyAlignment="1" applyProtection="1">
      <alignment horizontal="center"/>
    </xf>
    <xf numFmtId="0" fontId="76" fillId="7" borderId="0" xfId="0" applyFont="1" applyFill="1" applyAlignment="1" applyProtection="1">
      <alignment horizontal="center"/>
    </xf>
    <xf numFmtId="0" fontId="76" fillId="0" borderId="0" xfId="0" applyFont="1" applyAlignment="1" applyProtection="1">
      <alignment horizontal="center"/>
    </xf>
    <xf numFmtId="167" fontId="69" fillId="7" borderId="0" xfId="0" applyNumberFormat="1" applyFont="1" applyFill="1" applyAlignment="1" applyProtection="1">
      <alignment horizontal="center"/>
      <protection locked="0"/>
    </xf>
    <xf numFmtId="0" fontId="65" fillId="7" borderId="0" xfId="0" applyFont="1" applyFill="1" applyProtection="1">
      <protection locked="0"/>
    </xf>
    <xf numFmtId="0" fontId="68" fillId="7" borderId="0" xfId="0" applyFont="1" applyFill="1" applyAlignment="1" applyProtection="1">
      <alignment horizontal="center"/>
      <protection locked="0"/>
    </xf>
    <xf numFmtId="0" fontId="68" fillId="7" borderId="0" xfId="0" applyFont="1" applyFill="1" applyAlignment="1" applyProtection="1">
      <alignment horizontal="left"/>
      <protection locked="0"/>
    </xf>
    <xf numFmtId="0" fontId="73" fillId="7" borderId="0" xfId="0" applyFont="1" applyFill="1" applyAlignment="1" applyProtection="1">
      <alignment horizontal="center"/>
      <protection locked="0"/>
    </xf>
    <xf numFmtId="0" fontId="47" fillId="7"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6" fillId="7" borderId="0" xfId="0" applyFont="1" applyFill="1" applyAlignment="1" applyProtection="1">
      <alignment horizontal="center"/>
      <protection locked="0"/>
    </xf>
    <xf numFmtId="0" fontId="76" fillId="0" borderId="0" xfId="0" applyFont="1" applyAlignment="1" applyProtection="1">
      <alignment horizontal="center"/>
      <protection locked="0"/>
    </xf>
    <xf numFmtId="167" fontId="55" fillId="7" borderId="0" xfId="0" applyNumberFormat="1" applyFont="1" applyFill="1" applyBorder="1" applyAlignment="1" applyProtection="1">
      <alignment horizontal="center"/>
      <protection locked="0"/>
    </xf>
    <xf numFmtId="0" fontId="66" fillId="7" borderId="0" xfId="0" applyFont="1" applyFill="1" applyProtection="1">
      <protection locked="0"/>
    </xf>
    <xf numFmtId="0" fontId="55" fillId="7" borderId="0" xfId="0" applyFont="1" applyFill="1" applyAlignment="1" applyProtection="1">
      <alignment horizontal="center" vertical="center" wrapText="1"/>
      <protection locked="0"/>
    </xf>
    <xf numFmtId="167"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7" fillId="7" borderId="0" xfId="0" applyFont="1" applyFill="1" applyProtection="1">
      <protection locked="0"/>
    </xf>
    <xf numFmtId="0" fontId="41" fillId="7" borderId="0" xfId="0" applyFont="1" applyFill="1" applyProtection="1">
      <protection locked="0"/>
    </xf>
    <xf numFmtId="0" fontId="44" fillId="7" borderId="0" xfId="0" applyFont="1" applyFill="1" applyProtection="1">
      <protection locked="0"/>
    </xf>
    <xf numFmtId="167" fontId="71" fillId="7" borderId="0" xfId="1" applyNumberFormat="1" applyFont="1" applyFill="1" applyAlignment="1" applyProtection="1">
      <alignment horizontal="right"/>
      <protection locked="0"/>
    </xf>
    <xf numFmtId="172" fontId="71" fillId="7" borderId="0" xfId="0" applyNumberFormat="1" applyFont="1" applyFill="1" applyAlignment="1" applyProtection="1">
      <alignment horizontal="center"/>
      <protection locked="0"/>
    </xf>
    <xf numFmtId="4" fontId="67" fillId="7" borderId="0" xfId="0" applyNumberFormat="1" applyFont="1" applyFill="1" applyProtection="1">
      <protection locked="0"/>
    </xf>
    <xf numFmtId="167" fontId="71" fillId="7" borderId="2" xfId="1" applyNumberFormat="1" applyFont="1" applyFill="1" applyBorder="1" applyAlignment="1" applyProtection="1">
      <alignment horizontal="right"/>
      <protection locked="0"/>
    </xf>
    <xf numFmtId="167" fontId="68" fillId="7" borderId="2" xfId="0" applyNumberFormat="1" applyFont="1" applyFill="1" applyBorder="1" applyAlignment="1" applyProtection="1">
      <alignment horizontal="center"/>
      <protection locked="0"/>
    </xf>
    <xf numFmtId="4" fontId="65" fillId="7" borderId="0" xfId="0" applyNumberFormat="1" applyFont="1" applyFill="1" applyProtection="1">
      <protection locked="0"/>
    </xf>
    <xf numFmtId="4" fontId="66" fillId="7" borderId="0" xfId="0" applyNumberFormat="1" applyFont="1" applyFill="1" applyProtection="1">
      <protection locked="0"/>
    </xf>
    <xf numFmtId="0" fontId="66" fillId="7" borderId="0" xfId="0" applyFont="1" applyFill="1" applyAlignment="1" applyProtection="1">
      <alignment horizontal="center"/>
      <protection locked="0"/>
    </xf>
    <xf numFmtId="0" fontId="73" fillId="7" borderId="0" xfId="0" applyFont="1" applyFill="1" applyProtection="1">
      <protection locked="0"/>
    </xf>
    <xf numFmtId="167" fontId="66" fillId="7" borderId="0" xfId="0" applyNumberFormat="1" applyFont="1" applyFill="1" applyProtection="1">
      <protection locked="0"/>
    </xf>
    <xf numFmtId="0" fontId="73" fillId="7" borderId="0" xfId="0" applyFont="1" applyFill="1" applyAlignment="1" applyProtection="1">
      <alignment horizontal="left"/>
      <protection locked="0"/>
    </xf>
    <xf numFmtId="1" fontId="41" fillId="7" borderId="0" xfId="1" applyNumberFormat="1" applyFont="1" applyFill="1" applyBorder="1" applyAlignment="1" applyProtection="1">
      <alignment horizontal="center"/>
    </xf>
    <xf numFmtId="1" fontId="41" fillId="7" borderId="3" xfId="1" applyNumberFormat="1" applyFont="1" applyFill="1" applyBorder="1" applyAlignment="1" applyProtection="1">
      <alignment horizontal="center"/>
    </xf>
    <xf numFmtId="1" fontId="41" fillId="7" borderId="0" xfId="0" applyNumberFormat="1" applyFont="1" applyFill="1" applyBorder="1" applyAlignment="1" applyProtection="1">
      <alignment horizontal="center"/>
    </xf>
    <xf numFmtId="43" fontId="42" fillId="7" borderId="0" xfId="1" applyFont="1" applyFill="1" applyBorder="1" applyAlignment="1" applyProtection="1"/>
    <xf numFmtId="43" fontId="42" fillId="7" borderId="0" xfId="1" applyFont="1" applyFill="1" applyBorder="1" applyAlignment="1" applyProtection="1">
      <alignment horizontal="center"/>
    </xf>
    <xf numFmtId="3" fontId="42" fillId="7" borderId="0" xfId="0" applyNumberFormat="1" applyFont="1" applyFill="1" applyAlignment="1" applyProtection="1">
      <alignment horizontal="center"/>
    </xf>
    <xf numFmtId="43" fontId="41" fillId="7" borderId="0" xfId="1" applyFont="1" applyFill="1" applyAlignment="1" applyProtection="1">
      <alignment horizontal="left" indent="11"/>
    </xf>
    <xf numFmtId="167" fontId="41" fillId="7" borderId="0" xfId="1" applyNumberFormat="1" applyFont="1" applyFill="1" applyAlignment="1" applyProtection="1">
      <alignment horizontal="center"/>
    </xf>
    <xf numFmtId="167" fontId="46" fillId="7" borderId="0" xfId="0" applyNumberFormat="1" applyFont="1" applyFill="1" applyAlignment="1" applyProtection="1">
      <alignment horizontal="center"/>
    </xf>
    <xf numFmtId="43" fontId="41" fillId="7" borderId="1" xfId="1" applyFont="1" applyFill="1" applyBorder="1" applyAlignment="1" applyProtection="1">
      <alignment horizontal="left" indent="11"/>
    </xf>
    <xf numFmtId="167" fontId="41" fillId="7" borderId="1" xfId="1" applyNumberFormat="1" applyFont="1" applyFill="1" applyBorder="1" applyAlignment="1" applyProtection="1">
      <alignment horizontal="center"/>
    </xf>
    <xf numFmtId="43" fontId="41" fillId="7" borderId="0" xfId="1" applyFont="1" applyFill="1" applyBorder="1" applyAlignment="1" applyProtection="1">
      <alignment horizontal="left" indent="11"/>
    </xf>
    <xf numFmtId="167" fontId="41" fillId="7" borderId="0" xfId="1" applyNumberFormat="1" applyFont="1" applyFill="1" applyBorder="1" applyAlignment="1" applyProtection="1">
      <alignment horizontal="center"/>
    </xf>
    <xf numFmtId="167" fontId="48" fillId="7" borderId="0" xfId="0" applyNumberFormat="1" applyFont="1" applyFill="1" applyAlignment="1" applyProtection="1">
      <alignment horizontal="center"/>
    </xf>
    <xf numFmtId="1" fontId="44" fillId="7" borderId="0" xfId="1" applyNumberFormat="1" applyFont="1" applyFill="1" applyAlignment="1" applyProtection="1">
      <alignment horizontal="center"/>
    </xf>
    <xf numFmtId="43" fontId="43" fillId="7" borderId="2" xfId="1" applyFont="1" applyFill="1" applyBorder="1" applyAlignment="1" applyProtection="1">
      <alignment horizontal="left" indent="11"/>
    </xf>
    <xf numFmtId="167" fontId="43" fillId="7" borderId="2" xfId="1" applyNumberFormat="1" applyFont="1" applyFill="1" applyBorder="1" applyAlignment="1" applyProtection="1">
      <alignment horizontal="center"/>
    </xf>
    <xf numFmtId="1" fontId="47" fillId="7" borderId="0" xfId="1" applyNumberFormat="1" applyFont="1" applyFill="1" applyAlignment="1" applyProtection="1">
      <alignment horizontal="center"/>
    </xf>
    <xf numFmtId="167" fontId="44" fillId="7" borderId="0" xfId="1" applyNumberFormat="1" applyFont="1" applyFill="1" applyAlignment="1" applyProtection="1">
      <alignment horizontal="center"/>
    </xf>
    <xf numFmtId="43" fontId="42" fillId="7" borderId="0" xfId="1" applyFont="1" applyFill="1" applyAlignment="1" applyProtection="1"/>
    <xf numFmtId="1" fontId="41" fillId="7" borderId="0" xfId="0" applyNumberFormat="1" applyFont="1" applyFill="1" applyAlignment="1" applyProtection="1">
      <alignment horizontal="center"/>
    </xf>
    <xf numFmtId="170" fontId="41" fillId="7" borderId="0" xfId="0" applyNumberFormat="1" applyFont="1" applyFill="1" applyAlignment="1" applyProtection="1">
      <alignment horizontal="center"/>
    </xf>
    <xf numFmtId="0" fontId="0" fillId="8" borderId="0" xfId="0" applyFill="1"/>
    <xf numFmtId="0" fontId="5" fillId="8" borderId="0" xfId="0" applyFont="1" applyFill="1"/>
    <xf numFmtId="0" fontId="77" fillId="0" borderId="0" xfId="0" applyFont="1" applyAlignment="1" applyProtection="1">
      <alignment horizontal="center"/>
      <protection hidden="1"/>
    </xf>
    <xf numFmtId="0" fontId="78" fillId="0" borderId="0" xfId="0" applyFont="1" applyProtection="1">
      <protection hidden="1"/>
    </xf>
    <xf numFmtId="0" fontId="78" fillId="0" borderId="0" xfId="0" applyFont="1"/>
    <xf numFmtId="49" fontId="77" fillId="0" borderId="0" xfId="0" applyNumberFormat="1" applyFont="1" applyAlignment="1" applyProtection="1">
      <alignment horizontal="center"/>
      <protection hidden="1"/>
    </xf>
    <xf numFmtId="0" fontId="77" fillId="0" borderId="4" xfId="0" applyFont="1" applyBorder="1" applyAlignment="1" applyProtection="1">
      <alignment horizontal="center" vertical="top" wrapText="1"/>
      <protection hidden="1"/>
    </xf>
    <xf numFmtId="0" fontId="77" fillId="0" borderId="4" xfId="0" applyFont="1" applyBorder="1" applyAlignment="1">
      <alignment horizontal="center"/>
    </xf>
    <xf numFmtId="0" fontId="77" fillId="0" borderId="0" xfId="0" applyFont="1" applyProtection="1">
      <protection hidden="1"/>
    </xf>
    <xf numFmtId="0" fontId="77" fillId="0" borderId="0" xfId="0" applyFont="1"/>
    <xf numFmtId="171" fontId="77" fillId="0" borderId="4" xfId="0" applyNumberFormat="1" applyFont="1" applyBorder="1" applyAlignment="1" applyProtection="1">
      <alignment horizontal="center"/>
      <protection hidden="1"/>
    </xf>
    <xf numFmtId="49" fontId="77" fillId="0" borderId="4" xfId="0" applyNumberFormat="1" applyFont="1" applyBorder="1" applyAlignment="1" applyProtection="1">
      <alignment horizontal="center"/>
      <protection hidden="1"/>
    </xf>
    <xf numFmtId="0" fontId="77" fillId="0" borderId="4" xfId="0" applyFont="1" applyBorder="1" applyAlignment="1" applyProtection="1">
      <alignment horizontal="center"/>
      <protection hidden="1"/>
    </xf>
    <xf numFmtId="170" fontId="77" fillId="0" borderId="4" xfId="0" applyNumberFormat="1" applyFont="1" applyBorder="1" applyAlignment="1" applyProtection="1">
      <alignment horizontal="center"/>
      <protection hidden="1"/>
    </xf>
    <xf numFmtId="0" fontId="77" fillId="0" borderId="4" xfId="0" applyFont="1" applyFill="1" applyBorder="1" applyAlignment="1" applyProtection="1">
      <alignment horizontal="center" vertical="top" wrapText="1"/>
      <protection hidden="1"/>
    </xf>
    <xf numFmtId="0" fontId="77" fillId="0" borderId="4" xfId="0" applyNumberFormat="1" applyFont="1" applyBorder="1" applyAlignment="1" applyProtection="1">
      <alignment horizontal="center"/>
      <protection hidden="1"/>
    </xf>
    <xf numFmtId="167" fontId="77" fillId="0" borderId="4" xfId="0" applyNumberFormat="1" applyFont="1" applyBorder="1" applyAlignment="1" applyProtection="1">
      <alignment horizontal="center"/>
      <protection hidden="1"/>
    </xf>
    <xf numFmtId="0" fontId="77" fillId="0" borderId="5" xfId="0" applyFont="1" applyBorder="1" applyAlignment="1" applyProtection="1">
      <alignment horizontal="center" vertical="top" wrapText="1"/>
      <protection hidden="1"/>
    </xf>
    <xf numFmtId="167" fontId="78" fillId="0" borderId="0" xfId="0" applyNumberFormat="1" applyFont="1" applyProtection="1">
      <protection hidden="1"/>
    </xf>
    <xf numFmtId="0" fontId="77" fillId="0" borderId="5" xfId="0" applyFont="1" applyBorder="1" applyAlignment="1" applyProtection="1">
      <alignment horizontal="center"/>
      <protection hidden="1"/>
    </xf>
    <xf numFmtId="171" fontId="78" fillId="0" borderId="0" xfId="0" applyNumberFormat="1" applyFont="1" applyAlignment="1" applyProtection="1">
      <alignment horizontal="left"/>
      <protection hidden="1"/>
    </xf>
    <xf numFmtId="0" fontId="79" fillId="0" borderId="0" xfId="0" applyFont="1" applyProtection="1">
      <protection hidden="1"/>
    </xf>
    <xf numFmtId="0" fontId="42" fillId="0" borderId="0" xfId="0" applyFont="1" applyAlignment="1" applyProtection="1">
      <alignment horizontal="left"/>
      <protection hidden="1"/>
    </xf>
    <xf numFmtId="43" fontId="42" fillId="0" borderId="0" xfId="0" applyNumberFormat="1" applyFont="1" applyAlignment="1" applyProtection="1">
      <alignment horizontal="left"/>
      <protection hidden="1"/>
    </xf>
    <xf numFmtId="0" fontId="24" fillId="0" borderId="0" xfId="0" applyFont="1" applyProtection="1">
      <protection hidden="1"/>
    </xf>
    <xf numFmtId="0" fontId="41" fillId="9" borderId="7" xfId="0" applyFont="1" applyFill="1" applyBorder="1" applyAlignment="1" applyProtection="1">
      <alignment horizontal="center"/>
    </xf>
    <xf numFmtId="1" fontId="26" fillId="9" borderId="8" xfId="1" applyNumberFormat="1" applyFont="1" applyFill="1" applyBorder="1" applyAlignment="1" applyProtection="1">
      <alignment horizontal="center" vertical="center"/>
    </xf>
    <xf numFmtId="1" fontId="26" fillId="9" borderId="9" xfId="1" applyNumberFormat="1" applyFont="1" applyFill="1" applyBorder="1" applyAlignment="1" applyProtection="1">
      <alignment horizontal="center"/>
    </xf>
    <xf numFmtId="0" fontId="27" fillId="9" borderId="7" xfId="0" applyFont="1" applyFill="1" applyBorder="1" applyAlignment="1" applyProtection="1">
      <alignment horizontal="center"/>
    </xf>
    <xf numFmtId="1" fontId="5" fillId="7" borderId="3" xfId="1" applyNumberFormat="1" applyFont="1" applyFill="1" applyBorder="1" applyAlignment="1" applyProtection="1">
      <alignment horizontal="center"/>
    </xf>
    <xf numFmtId="1" fontId="5" fillId="7" borderId="0" xfId="1" applyNumberFormat="1" applyFont="1" applyFill="1" applyBorder="1" applyAlignment="1" applyProtection="1">
      <alignment horizontal="center"/>
    </xf>
    <xf numFmtId="43" fontId="5" fillId="7" borderId="0" xfId="1" applyFont="1" applyFill="1" applyBorder="1" applyProtection="1"/>
    <xf numFmtId="43" fontId="5" fillId="7" borderId="0" xfId="1" applyFont="1" applyFill="1" applyBorder="1" applyAlignment="1" applyProtection="1">
      <alignment horizontal="center"/>
    </xf>
    <xf numFmtId="0" fontId="5" fillId="7" borderId="10" xfId="0" applyFont="1" applyFill="1" applyBorder="1" applyAlignment="1" applyProtection="1">
      <alignment horizontal="center"/>
    </xf>
    <xf numFmtId="1" fontId="28" fillId="7" borderId="3" xfId="1" applyNumberFormat="1" applyFont="1" applyFill="1" applyBorder="1" applyAlignment="1" applyProtection="1">
      <alignment horizontal="center"/>
    </xf>
    <xf numFmtId="1" fontId="28" fillId="7" borderId="0" xfId="1" applyNumberFormat="1" applyFont="1" applyFill="1" applyBorder="1" applyAlignment="1" applyProtection="1">
      <alignment horizontal="center"/>
    </xf>
    <xf numFmtId="43" fontId="29" fillId="2" borderId="0" xfId="1" applyFont="1" applyFill="1" applyBorder="1" applyAlignment="1" applyProtection="1">
      <alignment horizontal="center"/>
      <protection locked="0"/>
    </xf>
    <xf numFmtId="1" fontId="28" fillId="7" borderId="0" xfId="0" applyNumberFormat="1" applyFont="1" applyFill="1" applyAlignment="1" applyProtection="1">
      <alignment horizontal="center"/>
    </xf>
    <xf numFmtId="1" fontId="28" fillId="7" borderId="0" xfId="1" applyNumberFormat="1" applyFont="1" applyFill="1" applyAlignment="1" applyProtection="1">
      <alignment horizontal="center"/>
    </xf>
    <xf numFmtId="1" fontId="2" fillId="0" borderId="0" xfId="1" applyNumberFormat="1" applyFont="1" applyBorder="1" applyAlignment="1" applyProtection="1">
      <alignment horizontal="center"/>
    </xf>
    <xf numFmtId="164" fontId="30" fillId="6" borderId="11" xfId="1" applyNumberFormat="1" applyFont="1" applyFill="1" applyBorder="1" applyAlignment="1" applyProtection="1">
      <alignment horizontal="left"/>
    </xf>
    <xf numFmtId="164" fontId="31" fillId="2" borderId="6" xfId="1" applyNumberFormat="1" applyFont="1" applyFill="1" applyBorder="1" applyAlignment="1" applyProtection="1">
      <alignment horizontal="center"/>
      <protection locked="0"/>
    </xf>
    <xf numFmtId="164" fontId="31" fillId="5" borderId="7" xfId="1" applyNumberFormat="1" applyFont="1" applyFill="1" applyBorder="1" applyAlignment="1" applyProtection="1">
      <alignment horizontal="center"/>
    </xf>
    <xf numFmtId="43" fontId="28" fillId="0" borderId="0" xfId="1" applyFont="1" applyBorder="1" applyProtection="1"/>
    <xf numFmtId="0" fontId="28" fillId="5" borderId="10" xfId="0" applyFont="1" applyFill="1" applyBorder="1" applyAlignment="1" applyProtection="1">
      <alignment horizontal="center"/>
    </xf>
    <xf numFmtId="43" fontId="28" fillId="0" borderId="0" xfId="1" applyFont="1" applyBorder="1" applyAlignment="1" applyProtection="1">
      <alignment vertical="top" wrapText="1"/>
      <protection locked="0"/>
    </xf>
    <xf numFmtId="43" fontId="28" fillId="0" borderId="0" xfId="1" applyFont="1" applyBorder="1" applyProtection="1">
      <protection locked="0"/>
    </xf>
    <xf numFmtId="168" fontId="29" fillId="2" borderId="0" xfId="1" applyNumberFormat="1" applyFont="1" applyFill="1" applyBorder="1" applyAlignment="1" applyProtection="1">
      <alignment horizontal="center"/>
      <protection locked="0"/>
    </xf>
    <xf numFmtId="43" fontId="28" fillId="7" borderId="0" xfId="1" applyFont="1" applyFill="1" applyBorder="1" applyProtection="1"/>
    <xf numFmtId="3" fontId="29" fillId="2" borderId="0" xfId="1" applyNumberFormat="1" applyFont="1" applyFill="1" applyBorder="1" applyAlignment="1" applyProtection="1">
      <alignment horizontal="center"/>
      <protection locked="0"/>
    </xf>
    <xf numFmtId="3" fontId="28" fillId="5" borderId="10" xfId="0" applyNumberFormat="1" applyFont="1" applyFill="1" applyBorder="1" applyAlignment="1" applyProtection="1">
      <alignment horizontal="center"/>
    </xf>
    <xf numFmtId="164" fontId="29" fillId="2" borderId="0" xfId="1" applyNumberFormat="1" applyFont="1" applyFill="1" applyBorder="1" applyAlignment="1" applyProtection="1">
      <alignment horizontal="center"/>
      <protection locked="0"/>
    </xf>
    <xf numFmtId="169" fontId="31" fillId="2" borderId="10" xfId="0" applyNumberFormat="1" applyFont="1" applyFill="1" applyBorder="1" applyAlignment="1" applyProtection="1">
      <alignment horizontal="center"/>
      <protection locked="0"/>
    </xf>
    <xf numFmtId="169" fontId="28" fillId="5" borderId="10" xfId="0" applyNumberFormat="1" applyFont="1" applyFill="1" applyBorder="1" applyAlignment="1" applyProtection="1">
      <alignment horizontal="center"/>
    </xf>
    <xf numFmtId="164" fontId="31" fillId="5" borderId="6" xfId="1" applyNumberFormat="1" applyFont="1" applyFill="1" applyBorder="1" applyAlignment="1" applyProtection="1">
      <alignment horizontal="center"/>
    </xf>
    <xf numFmtId="169" fontId="31" fillId="2" borderId="12" xfId="0" applyNumberFormat="1" applyFont="1" applyFill="1" applyBorder="1" applyAlignment="1" applyProtection="1">
      <alignment horizontal="center"/>
      <protection locked="0"/>
    </xf>
    <xf numFmtId="43" fontId="46" fillId="0" borderId="0" xfId="1" applyFont="1" applyBorder="1" applyProtection="1"/>
    <xf numFmtId="164" fontId="80" fillId="0" borderId="0" xfId="1" applyNumberFormat="1" applyFont="1" applyAlignment="1" applyProtection="1">
      <alignment horizontal="center"/>
    </xf>
    <xf numFmtId="3" fontId="46" fillId="0" borderId="0" xfId="0" applyNumberFormat="1" applyFont="1" applyAlignment="1" applyProtection="1">
      <alignment horizontal="center"/>
    </xf>
    <xf numFmtId="1" fontId="81" fillId="9" borderId="8" xfId="1" applyNumberFormat="1" applyFont="1" applyFill="1" applyBorder="1" applyAlignment="1" applyProtection="1">
      <alignment horizontal="center"/>
    </xf>
    <xf numFmtId="1" fontId="41" fillId="9" borderId="9" xfId="1" applyNumberFormat="1" applyFont="1" applyFill="1" applyBorder="1" applyAlignment="1" applyProtection="1">
      <alignment horizontal="center"/>
    </xf>
    <xf numFmtId="43" fontId="41" fillId="9" borderId="9" xfId="1" applyFont="1" applyFill="1" applyBorder="1" applyProtection="1"/>
    <xf numFmtId="43" fontId="41" fillId="9" borderId="9" xfId="1" applyFont="1" applyFill="1" applyBorder="1" applyAlignment="1" applyProtection="1">
      <alignment horizontal="center"/>
    </xf>
    <xf numFmtId="1" fontId="29" fillId="2" borderId="3" xfId="1" applyNumberFormat="1" applyFont="1" applyFill="1" applyBorder="1" applyAlignment="1" applyProtection="1">
      <alignment horizontal="center" wrapText="1"/>
    </xf>
    <xf numFmtId="1" fontId="26" fillId="9" borderId="8" xfId="1" applyNumberFormat="1" applyFont="1" applyFill="1" applyBorder="1" applyAlignment="1" applyProtection="1">
      <alignment horizontal="center"/>
    </xf>
    <xf numFmtId="43" fontId="26" fillId="9" borderId="9" xfId="1" applyFont="1" applyFill="1" applyBorder="1" applyAlignment="1" applyProtection="1">
      <alignment horizontal="center"/>
    </xf>
    <xf numFmtId="164" fontId="26" fillId="9" borderId="9" xfId="1" applyNumberFormat="1" applyFont="1" applyFill="1" applyBorder="1" applyAlignment="1" applyProtection="1">
      <alignment horizontal="center"/>
    </xf>
    <xf numFmtId="3" fontId="26" fillId="9" borderId="7" xfId="0" applyNumberFormat="1" applyFont="1" applyFill="1" applyBorder="1" applyAlignment="1" applyProtection="1">
      <alignment horizontal="center"/>
    </xf>
    <xf numFmtId="43" fontId="28" fillId="7" borderId="0" xfId="1" applyFont="1" applyFill="1" applyBorder="1" applyAlignment="1" applyProtection="1">
      <alignment horizontal="right"/>
    </xf>
    <xf numFmtId="166" fontId="28" fillId="7" borderId="0" xfId="1" applyNumberFormat="1" applyFont="1" applyFill="1" applyBorder="1" applyAlignment="1" applyProtection="1">
      <alignment horizontal="center"/>
    </xf>
    <xf numFmtId="164" fontId="31" fillId="2" borderId="0" xfId="1" applyNumberFormat="1" applyFont="1" applyFill="1" applyBorder="1" applyAlignment="1" applyProtection="1">
      <alignment horizontal="center"/>
      <protection locked="0"/>
    </xf>
    <xf numFmtId="43" fontId="28" fillId="7" borderId="0" xfId="1" applyFont="1" applyFill="1" applyProtection="1"/>
    <xf numFmtId="3" fontId="28" fillId="7" borderId="0" xfId="1" applyNumberFormat="1" applyFont="1" applyFill="1" applyAlignment="1" applyProtection="1">
      <alignment horizontal="center"/>
    </xf>
    <xf numFmtId="3" fontId="28" fillId="0" borderId="0" xfId="0" applyNumberFormat="1" applyFont="1" applyAlignment="1" applyProtection="1">
      <alignment horizontal="center"/>
    </xf>
    <xf numFmtId="164" fontId="28" fillId="0" borderId="0" xfId="1" applyNumberFormat="1" applyFont="1" applyBorder="1" applyAlignment="1" applyProtection="1">
      <alignment horizontal="center"/>
    </xf>
    <xf numFmtId="167" fontId="32" fillId="9" borderId="13" xfId="0" applyNumberFormat="1" applyFont="1" applyFill="1" applyBorder="1" applyAlignment="1" applyProtection="1">
      <alignment horizontal="center"/>
    </xf>
    <xf numFmtId="1" fontId="81" fillId="9" borderId="9" xfId="1" applyNumberFormat="1" applyFont="1" applyFill="1" applyBorder="1" applyAlignment="1" applyProtection="1">
      <alignment horizontal="left"/>
    </xf>
    <xf numFmtId="164" fontId="82" fillId="9" borderId="0" xfId="1" applyNumberFormat="1" applyFont="1" applyFill="1" applyBorder="1" applyAlignment="1" applyProtection="1">
      <alignment horizontal="center"/>
    </xf>
    <xf numFmtId="3" fontId="82" fillId="9" borderId="10" xfId="0" applyNumberFormat="1" applyFont="1" applyFill="1" applyBorder="1" applyAlignment="1" applyProtection="1">
      <alignment horizontal="center"/>
    </xf>
    <xf numFmtId="1" fontId="7" fillId="7" borderId="0" xfId="0" applyNumberFormat="1" applyFont="1" applyFill="1" applyAlignment="1" applyProtection="1">
      <alignment horizontal="right"/>
      <protection locked="0"/>
    </xf>
    <xf numFmtId="0" fontId="7" fillId="7" borderId="0" xfId="0" applyFont="1" applyFill="1" applyProtection="1">
      <protection locked="0"/>
    </xf>
    <xf numFmtId="0" fontId="28" fillId="7" borderId="0" xfId="0" applyFont="1" applyFill="1" applyAlignment="1" applyProtection="1">
      <alignment horizontal="center"/>
      <protection locked="0"/>
    </xf>
    <xf numFmtId="1" fontId="28" fillId="0" borderId="0" xfId="0" applyNumberFormat="1" applyFont="1" applyAlignment="1" applyProtection="1">
      <alignment horizontal="center"/>
      <protection locked="0"/>
    </xf>
    <xf numFmtId="1" fontId="28" fillId="7" borderId="0" xfId="0" applyNumberFormat="1" applyFont="1" applyFill="1" applyAlignment="1" applyProtection="1">
      <alignment horizontal="center"/>
      <protection locked="0"/>
    </xf>
    <xf numFmtId="0" fontId="28" fillId="7" borderId="0" xfId="0" applyFont="1" applyFill="1" applyProtection="1">
      <protection locked="0"/>
    </xf>
    <xf numFmtId="175" fontId="28" fillId="7" borderId="0" xfId="0" applyNumberFormat="1" applyFont="1" applyFill="1" applyAlignment="1" applyProtection="1">
      <alignment horizontal="right"/>
      <protection locked="0"/>
    </xf>
    <xf numFmtId="43" fontId="28" fillId="7" borderId="0" xfId="1" applyFont="1" applyFill="1" applyAlignment="1" applyProtection="1">
      <protection locked="0"/>
    </xf>
    <xf numFmtId="14" fontId="28" fillId="7" borderId="0" xfId="0" applyNumberFormat="1" applyFont="1" applyFill="1" applyAlignment="1" applyProtection="1">
      <alignment horizontal="center"/>
      <protection locked="0"/>
    </xf>
    <xf numFmtId="167" fontId="33" fillId="7" borderId="8" xfId="0" applyNumberFormat="1" applyFont="1" applyFill="1" applyBorder="1" applyAlignment="1" applyProtection="1">
      <alignment horizontal="center" vertical="center" wrapText="1"/>
      <protection locked="0"/>
    </xf>
    <xf numFmtId="167" fontId="33" fillId="7" borderId="9" xfId="0" applyNumberFormat="1" applyFont="1" applyFill="1" applyBorder="1" applyAlignment="1" applyProtection="1">
      <alignment horizontal="center" vertical="center" wrapText="1"/>
      <protection locked="0"/>
    </xf>
    <xf numFmtId="0" fontId="33" fillId="7" borderId="9" xfId="0" applyFont="1" applyFill="1" applyBorder="1" applyAlignment="1" applyProtection="1">
      <alignment horizontal="left" vertical="center" wrapText="1" indent="11"/>
      <protection locked="0"/>
    </xf>
    <xf numFmtId="0" fontId="33" fillId="7" borderId="7" xfId="0" applyFont="1" applyFill="1" applyBorder="1" applyAlignment="1" applyProtection="1">
      <alignment horizontal="center" vertical="center" wrapText="1"/>
      <protection locked="0"/>
    </xf>
    <xf numFmtId="174" fontId="28" fillId="7" borderId="11" xfId="1" applyNumberFormat="1" applyFont="1" applyFill="1" applyBorder="1" applyAlignment="1" applyProtection="1">
      <alignment horizontal="right"/>
      <protection locked="0"/>
    </xf>
    <xf numFmtId="43" fontId="28" fillId="7" borderId="11" xfId="1" applyFont="1" applyFill="1" applyBorder="1" applyAlignment="1" applyProtection="1">
      <alignment horizontal="left" indent="11"/>
      <protection locked="0"/>
    </xf>
    <xf numFmtId="167" fontId="31" fillId="2" borderId="11" xfId="0" applyNumberFormat="1" applyFont="1" applyFill="1" applyBorder="1" applyAlignment="1" applyProtection="1">
      <alignment horizontal="center"/>
      <protection locked="0"/>
    </xf>
    <xf numFmtId="172" fontId="28" fillId="7" borderId="13" xfId="0" applyNumberFormat="1" applyFont="1" applyFill="1" applyBorder="1" applyAlignment="1" applyProtection="1">
      <alignment horizontal="center"/>
      <protection locked="0"/>
    </xf>
    <xf numFmtId="174" fontId="28" fillId="7" borderId="0" xfId="1" applyNumberFormat="1" applyFont="1" applyFill="1" applyBorder="1" applyAlignment="1" applyProtection="1">
      <alignment horizontal="right"/>
      <protection locked="0"/>
    </xf>
    <xf numFmtId="43" fontId="28" fillId="7" borderId="0" xfId="1" applyFont="1" applyFill="1" applyBorder="1" applyAlignment="1" applyProtection="1">
      <alignment horizontal="left" indent="11"/>
      <protection locked="0"/>
    </xf>
    <xf numFmtId="167" fontId="31" fillId="2" borderId="0" xfId="0" applyNumberFormat="1" applyFont="1" applyFill="1" applyBorder="1" applyAlignment="1" applyProtection="1">
      <alignment horizontal="center"/>
      <protection locked="0"/>
    </xf>
    <xf numFmtId="172" fontId="28" fillId="7" borderId="10" xfId="0" applyNumberFormat="1" applyFont="1" applyFill="1" applyBorder="1" applyAlignment="1" applyProtection="1">
      <alignment horizontal="center"/>
      <protection locked="0"/>
    </xf>
    <xf numFmtId="167" fontId="28" fillId="7" borderId="6" xfId="0" applyNumberFormat="1" applyFont="1" applyFill="1" applyBorder="1" applyAlignment="1" applyProtection="1">
      <alignment horizontal="right"/>
      <protection locked="0"/>
    </xf>
    <xf numFmtId="43" fontId="33" fillId="7" borderId="14" xfId="1" applyFont="1" applyFill="1" applyBorder="1" applyAlignment="1" applyProtection="1">
      <alignment horizontal="left" indent="11"/>
      <protection locked="0"/>
    </xf>
    <xf numFmtId="167" fontId="33" fillId="0" borderId="14" xfId="0" applyNumberFormat="1" applyFont="1" applyBorder="1" applyAlignment="1" applyProtection="1">
      <alignment horizontal="center"/>
      <protection locked="0"/>
    </xf>
    <xf numFmtId="167" fontId="33" fillId="7" borderId="15" xfId="0" applyNumberFormat="1" applyFont="1" applyFill="1" applyBorder="1" applyAlignment="1" applyProtection="1">
      <alignment horizontal="center"/>
      <protection locked="0"/>
    </xf>
    <xf numFmtId="1" fontId="26" fillId="9" borderId="16" xfId="1" applyNumberFormat="1" applyFont="1" applyFill="1" applyBorder="1" applyAlignment="1" applyProtection="1">
      <alignment horizontal="center"/>
    </xf>
    <xf numFmtId="43" fontId="26" fillId="9" borderId="11" xfId="1" applyFont="1" applyFill="1" applyBorder="1" applyAlignment="1" applyProtection="1">
      <alignment horizontal="left"/>
    </xf>
    <xf numFmtId="164" fontId="26" fillId="9" borderId="11" xfId="1" applyNumberFormat="1" applyFont="1" applyFill="1" applyBorder="1" applyAlignment="1" applyProtection="1">
      <alignment horizontal="center"/>
    </xf>
    <xf numFmtId="1" fontId="26" fillId="9" borderId="17" xfId="1" applyNumberFormat="1" applyFont="1" applyFill="1" applyBorder="1" applyAlignment="1" applyProtection="1">
      <alignment horizontal="center"/>
    </xf>
    <xf numFmtId="43" fontId="26" fillId="9" borderId="6" xfId="1" applyFont="1" applyFill="1" applyBorder="1" applyAlignment="1" applyProtection="1">
      <alignment horizontal="left"/>
    </xf>
    <xf numFmtId="164" fontId="26" fillId="9" borderId="6" xfId="1" applyNumberFormat="1" applyFont="1" applyFill="1" applyBorder="1" applyAlignment="1" applyProtection="1">
      <alignment horizontal="center"/>
    </xf>
    <xf numFmtId="167" fontId="26" fillId="9" borderId="11" xfId="0" applyNumberFormat="1" applyFont="1" applyFill="1" applyBorder="1" applyAlignment="1" applyProtection="1">
      <alignment horizontal="center" vertical="center"/>
      <protection locked="0"/>
    </xf>
    <xf numFmtId="167" fontId="26" fillId="9" borderId="13" xfId="0" applyNumberFormat="1" applyFont="1" applyFill="1" applyBorder="1" applyAlignment="1" applyProtection="1">
      <alignment horizontal="center" vertical="center"/>
      <protection locked="0"/>
    </xf>
    <xf numFmtId="1" fontId="26" fillId="9" borderId="16" xfId="1" applyNumberFormat="1"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locked="0"/>
    </xf>
    <xf numFmtId="1" fontId="26" fillId="9" borderId="11" xfId="1" applyNumberFormat="1" applyFont="1" applyFill="1" applyBorder="1" applyAlignment="1" applyProtection="1">
      <alignment horizontal="center"/>
    </xf>
    <xf numFmtId="0" fontId="26" fillId="9" borderId="11" xfId="0" applyFont="1" applyFill="1" applyBorder="1" applyAlignment="1" applyProtection="1">
      <alignment horizontal="center"/>
    </xf>
    <xf numFmtId="167" fontId="26" fillId="9" borderId="11" xfId="0" applyNumberFormat="1" applyFont="1" applyFill="1" applyBorder="1" applyAlignment="1" applyProtection="1">
      <alignment horizontal="center"/>
    </xf>
    <xf numFmtId="1" fontId="26" fillId="9" borderId="16" xfId="0" applyNumberFormat="1" applyFont="1" applyFill="1" applyBorder="1" applyAlignment="1" applyProtection="1">
      <alignment horizontal="center"/>
      <protection locked="0"/>
    </xf>
    <xf numFmtId="1" fontId="26" fillId="9" borderId="11" xfId="0" applyNumberFormat="1" applyFont="1" applyFill="1" applyBorder="1" applyAlignment="1" applyProtection="1">
      <alignment horizontal="center"/>
      <protection locked="0"/>
    </xf>
    <xf numFmtId="0" fontId="7" fillId="7" borderId="11" xfId="0" applyFont="1" applyFill="1" applyBorder="1" applyProtection="1">
      <protection locked="0"/>
    </xf>
    <xf numFmtId="0" fontId="28" fillId="7" borderId="11" xfId="0" applyFont="1" applyFill="1" applyBorder="1" applyAlignment="1" applyProtection="1">
      <alignment horizontal="center"/>
      <protection locked="0"/>
    </xf>
    <xf numFmtId="0" fontId="28" fillId="7" borderId="13" xfId="0" applyFont="1" applyFill="1" applyBorder="1" applyAlignment="1" applyProtection="1">
      <alignment horizontal="center"/>
      <protection locked="0"/>
    </xf>
    <xf numFmtId="1" fontId="26" fillId="9" borderId="17" xfId="0" applyNumberFormat="1" applyFont="1" applyFill="1" applyBorder="1" applyAlignment="1" applyProtection="1">
      <alignment horizontal="center"/>
      <protection locked="0"/>
    </xf>
    <xf numFmtId="1" fontId="26" fillId="9" borderId="6" xfId="0" applyNumberFormat="1" applyFont="1" applyFill="1" applyBorder="1" applyAlignment="1" applyProtection="1">
      <alignment horizontal="center"/>
      <protection locked="0"/>
    </xf>
    <xf numFmtId="0" fontId="7" fillId="7" borderId="6" xfId="0" applyFont="1" applyFill="1" applyBorder="1" applyProtection="1">
      <protection locked="0"/>
    </xf>
    <xf numFmtId="0" fontId="28" fillId="7" borderId="6" xfId="0" applyFont="1" applyFill="1" applyBorder="1" applyAlignment="1" applyProtection="1">
      <alignment horizontal="center"/>
      <protection locked="0"/>
    </xf>
    <xf numFmtId="0" fontId="28" fillId="7" borderId="12" xfId="0" applyFont="1" applyFill="1" applyBorder="1" applyAlignment="1" applyProtection="1">
      <alignment horizontal="center"/>
      <protection locked="0"/>
    </xf>
    <xf numFmtId="1" fontId="26" fillId="9" borderId="18" xfId="0" applyNumberFormat="1" applyFont="1" applyFill="1" applyBorder="1" applyAlignment="1" applyProtection="1">
      <alignment horizontal="center" wrapText="1"/>
      <protection locked="0"/>
    </xf>
    <xf numFmtId="43" fontId="35" fillId="7" borderId="0" xfId="1" applyFont="1" applyFill="1" applyBorder="1" applyAlignment="1" applyProtection="1">
      <alignment horizontal="center" vertical="center"/>
    </xf>
    <xf numFmtId="164" fontId="28" fillId="5" borderId="8" xfId="1" applyNumberFormat="1" applyFont="1" applyFill="1" applyBorder="1" applyAlignment="1" applyProtection="1">
      <alignment horizontal="center"/>
    </xf>
    <xf numFmtId="3" fontId="28" fillId="5" borderId="7" xfId="0" applyNumberFormat="1" applyFont="1" applyFill="1" applyBorder="1" applyAlignment="1" applyProtection="1">
      <alignment horizontal="center"/>
    </xf>
    <xf numFmtId="1" fontId="34" fillId="7" borderId="3" xfId="0" applyNumberFormat="1" applyFont="1" applyFill="1" applyBorder="1" applyAlignment="1" applyProtection="1">
      <alignment horizontal="center"/>
    </xf>
    <xf numFmtId="1" fontId="34" fillId="7" borderId="0" xfId="0" applyNumberFormat="1" applyFont="1" applyFill="1" applyBorder="1" applyAlignment="1" applyProtection="1">
      <alignment horizontal="center"/>
    </xf>
    <xf numFmtId="0" fontId="34" fillId="7" borderId="0" xfId="0" applyFont="1" applyFill="1" applyBorder="1" applyAlignment="1" applyProtection="1">
      <alignment horizontal="center"/>
    </xf>
    <xf numFmtId="167" fontId="7" fillId="7" borderId="0" xfId="0" applyNumberFormat="1" applyFont="1" applyFill="1" applyBorder="1" applyAlignment="1" applyProtection="1">
      <alignment horizontal="center"/>
    </xf>
    <xf numFmtId="167" fontId="7" fillId="7" borderId="10" xfId="0" applyNumberFormat="1" applyFont="1" applyFill="1" applyBorder="1" applyAlignment="1" applyProtection="1">
      <alignment horizontal="center"/>
    </xf>
    <xf numFmtId="1" fontId="34" fillId="7" borderId="17" xfId="0" applyNumberFormat="1" applyFont="1" applyFill="1" applyBorder="1" applyAlignment="1" applyProtection="1">
      <alignment horizontal="center"/>
    </xf>
    <xf numFmtId="1" fontId="34" fillId="7" borderId="6" xfId="0" applyNumberFormat="1" applyFont="1" applyFill="1" applyBorder="1" applyAlignment="1" applyProtection="1">
      <alignment horizontal="center"/>
    </xf>
    <xf numFmtId="0" fontId="34" fillId="7" borderId="6" xfId="0" applyFont="1" applyFill="1" applyBorder="1" applyAlignment="1" applyProtection="1">
      <alignment horizontal="center"/>
    </xf>
    <xf numFmtId="167" fontId="7" fillId="7" borderId="6" xfId="0" applyNumberFormat="1" applyFont="1" applyFill="1" applyBorder="1" applyAlignment="1" applyProtection="1">
      <alignment horizontal="center"/>
    </xf>
    <xf numFmtId="167" fontId="7" fillId="7" borderId="12" xfId="0" applyNumberFormat="1" applyFont="1" applyFill="1" applyBorder="1" applyAlignment="1" applyProtection="1">
      <alignment horizontal="center"/>
    </xf>
    <xf numFmtId="167" fontId="28" fillId="10" borderId="16" xfId="1" applyNumberFormat="1" applyFont="1" applyFill="1" applyBorder="1" applyAlignment="1" applyProtection="1">
      <alignment horizontal="right"/>
      <protection locked="0"/>
    </xf>
    <xf numFmtId="167" fontId="28" fillId="10" borderId="3" xfId="1" applyNumberFormat="1" applyFont="1" applyFill="1" applyBorder="1" applyAlignment="1" applyProtection="1">
      <alignment horizontal="right"/>
      <protection locked="0"/>
    </xf>
    <xf numFmtId="167" fontId="28" fillId="10" borderId="17" xfId="1" applyNumberFormat="1" applyFont="1" applyFill="1" applyBorder="1" applyAlignment="1" applyProtection="1">
      <alignment horizontal="right"/>
      <protection locked="0"/>
    </xf>
    <xf numFmtId="43" fontId="84" fillId="7" borderId="0" xfId="1" applyFont="1" applyFill="1" applyBorder="1" applyProtection="1">
      <protection locked="0"/>
    </xf>
    <xf numFmtId="43" fontId="84" fillId="7" borderId="0" xfId="1" applyFont="1" applyFill="1" applyBorder="1" applyProtection="1"/>
    <xf numFmtId="43" fontId="84" fillId="7" borderId="0" xfId="1" applyFont="1" applyFill="1" applyBorder="1" applyAlignment="1" applyProtection="1">
      <alignment vertical="top" wrapText="1"/>
    </xf>
    <xf numFmtId="43" fontId="84" fillId="7" borderId="0" xfId="1" applyFont="1" applyFill="1" applyBorder="1" applyAlignment="1" applyProtection="1">
      <alignment horizontal="left"/>
    </xf>
    <xf numFmtId="43" fontId="84" fillId="7" borderId="0" xfId="1" applyFont="1" applyFill="1" applyBorder="1" applyAlignment="1" applyProtection="1">
      <alignment horizontal="left" vertical="top" wrapText="1"/>
    </xf>
    <xf numFmtId="0" fontId="47" fillId="7" borderId="0" xfId="0" applyFont="1" applyFill="1" applyBorder="1" applyAlignment="1" applyProtection="1">
      <alignment vertical="center"/>
    </xf>
    <xf numFmtId="0" fontId="47" fillId="7" borderId="0" xfId="0" applyFont="1" applyFill="1" applyBorder="1" applyAlignment="1" applyProtection="1">
      <alignment vertical="center" wrapText="1"/>
    </xf>
    <xf numFmtId="0" fontId="47" fillId="7" borderId="0" xfId="0" applyFont="1" applyFill="1" applyBorder="1" applyAlignment="1" applyProtection="1">
      <alignment horizontal="center" vertical="center"/>
    </xf>
    <xf numFmtId="0" fontId="41" fillId="7" borderId="0" xfId="0" applyFont="1" applyFill="1" applyBorder="1" applyAlignment="1" applyProtection="1">
      <alignment vertical="center" wrapText="1"/>
    </xf>
    <xf numFmtId="0" fontId="35" fillId="7" borderId="0" xfId="0" applyFont="1" applyFill="1" applyBorder="1" applyAlignment="1" applyProtection="1">
      <alignment horizontal="center" vertical="center"/>
    </xf>
    <xf numFmtId="0" fontId="36" fillId="7" borderId="0" xfId="0" applyFont="1" applyFill="1" applyBorder="1" applyAlignment="1" applyProtection="1">
      <alignment vertical="center" wrapText="1"/>
    </xf>
    <xf numFmtId="0" fontId="37" fillId="7" borderId="0" xfId="0" applyFont="1" applyFill="1" applyBorder="1" applyAlignment="1" applyProtection="1">
      <alignment vertical="center" wrapText="1"/>
    </xf>
    <xf numFmtId="0" fontId="35" fillId="7" borderId="0" xfId="0" applyFont="1" applyFill="1" applyBorder="1" applyAlignment="1" applyProtection="1">
      <alignment horizontal="left" vertical="center"/>
    </xf>
    <xf numFmtId="0" fontId="41" fillId="7" borderId="0" xfId="0" applyFont="1" applyFill="1" applyBorder="1" applyProtection="1"/>
    <xf numFmtId="0" fontId="41" fillId="7" borderId="0" xfId="0" applyFont="1" applyFill="1" applyBorder="1" applyAlignment="1" applyProtection="1">
      <alignment vertical="center"/>
    </xf>
    <xf numFmtId="0" fontId="51" fillId="7" borderId="0" xfId="0" applyFont="1" applyFill="1" applyProtection="1"/>
    <xf numFmtId="0" fontId="53" fillId="7" borderId="0" xfId="0" applyFont="1" applyFill="1" applyProtection="1"/>
    <xf numFmtId="0" fontId="41" fillId="7" borderId="0" xfId="0" applyFont="1" applyFill="1" applyAlignment="1" applyProtection="1">
      <alignment horizontal="left" indent="5"/>
    </xf>
    <xf numFmtId="0" fontId="53" fillId="7" borderId="0" xfId="0" applyFont="1" applyFill="1" applyAlignment="1" applyProtection="1">
      <alignment horizontal="left"/>
    </xf>
    <xf numFmtId="0" fontId="53" fillId="7" borderId="0" xfId="0" applyFont="1" applyFill="1" applyAlignment="1" applyProtection="1">
      <alignment horizontal="left" indent="5"/>
    </xf>
    <xf numFmtId="0" fontId="41" fillId="7" borderId="0" xfId="0" applyFont="1" applyFill="1" applyAlignment="1" applyProtection="1">
      <alignment horizontal="left" vertical="center"/>
    </xf>
    <xf numFmtId="0" fontId="54" fillId="7" borderId="0" xfId="0" applyFont="1" applyFill="1" applyProtection="1"/>
    <xf numFmtId="170" fontId="13" fillId="2" borderId="0" xfId="0" applyNumberFormat="1" applyFont="1" applyFill="1" applyAlignment="1" applyProtection="1">
      <alignment horizontal="right"/>
    </xf>
    <xf numFmtId="43" fontId="83" fillId="2" borderId="9" xfId="1" applyFont="1" applyFill="1" applyBorder="1" applyAlignment="1" applyProtection="1">
      <alignment horizontal="center" vertical="center"/>
    </xf>
    <xf numFmtId="43" fontId="26" fillId="9" borderId="9" xfId="1" applyFont="1" applyFill="1" applyBorder="1" applyAlignment="1" applyProtection="1">
      <alignment horizontal="center"/>
    </xf>
    <xf numFmtId="43" fontId="26" fillId="9" borderId="7" xfId="1" applyFont="1" applyFill="1" applyBorder="1" applyAlignment="1" applyProtection="1">
      <alignment horizontal="center"/>
    </xf>
    <xf numFmtId="3" fontId="81" fillId="9" borderId="19" xfId="0" applyNumberFormat="1" applyFont="1" applyFill="1" applyBorder="1" applyAlignment="1" applyProtection="1">
      <alignment horizontal="center" vertical="center"/>
    </xf>
    <xf numFmtId="3" fontId="81" fillId="9" borderId="20" xfId="0" applyNumberFormat="1" applyFont="1" applyFill="1" applyBorder="1" applyAlignment="1" applyProtection="1">
      <alignment horizontal="center" vertical="center"/>
    </xf>
    <xf numFmtId="3" fontId="81" fillId="9" borderId="13" xfId="0" applyNumberFormat="1" applyFont="1" applyFill="1" applyBorder="1" applyAlignment="1" applyProtection="1">
      <alignment horizontal="center" vertical="center" wrapText="1"/>
    </xf>
    <xf numFmtId="3" fontId="81" fillId="9" borderId="12" xfId="0" applyNumberFormat="1" applyFont="1" applyFill="1" applyBorder="1" applyAlignment="1" applyProtection="1">
      <alignment horizontal="center" vertical="center" wrapText="1"/>
    </xf>
    <xf numFmtId="49" fontId="39" fillId="2" borderId="0" xfId="1" applyNumberFormat="1" applyFont="1" applyFill="1" applyBorder="1" applyAlignment="1" applyProtection="1">
      <alignment horizontal="center"/>
      <protection locked="0"/>
    </xf>
    <xf numFmtId="49" fontId="39" fillId="2" borderId="10" xfId="1" applyNumberFormat="1" applyFont="1" applyFill="1" applyBorder="1" applyAlignment="1" applyProtection="1">
      <alignment horizontal="center"/>
      <protection locked="0"/>
    </xf>
    <xf numFmtId="49" fontId="40" fillId="2" borderId="0" xfId="2" applyNumberFormat="1" applyFont="1" applyFill="1" applyBorder="1" applyAlignment="1" applyProtection="1">
      <alignment horizontal="center"/>
      <protection locked="0"/>
    </xf>
    <xf numFmtId="49" fontId="40" fillId="2" borderId="10" xfId="2" applyNumberFormat="1" applyFont="1" applyFill="1" applyBorder="1" applyAlignment="1" applyProtection="1">
      <alignment horizontal="center"/>
      <protection locked="0"/>
    </xf>
    <xf numFmtId="170" fontId="38" fillId="2" borderId="0" xfId="2" applyNumberFormat="1" applyFont="1" applyFill="1" applyBorder="1" applyAlignment="1" applyProtection="1">
      <alignment horizontal="center"/>
      <protection locked="0"/>
    </xf>
    <xf numFmtId="170" fontId="39" fillId="2" borderId="0" xfId="0" applyNumberFormat="1" applyFont="1" applyFill="1" applyBorder="1" applyAlignment="1" applyProtection="1">
      <alignment horizontal="center"/>
      <protection locked="0"/>
    </xf>
    <xf numFmtId="170" fontId="39" fillId="2" borderId="10" xfId="0" applyNumberFormat="1" applyFont="1" applyFill="1" applyBorder="1" applyAlignment="1" applyProtection="1">
      <alignment horizontal="center"/>
      <protection locked="0"/>
    </xf>
    <xf numFmtId="49" fontId="39" fillId="2" borderId="0" xfId="0" applyNumberFormat="1" applyFont="1" applyFill="1" applyBorder="1" applyAlignment="1" applyProtection="1">
      <alignment horizontal="center"/>
      <protection locked="0"/>
    </xf>
    <xf numFmtId="49" fontId="39" fillId="2" borderId="10" xfId="0" applyNumberFormat="1" applyFont="1" applyFill="1" applyBorder="1" applyAlignment="1" applyProtection="1">
      <alignment horizontal="center"/>
      <protection locked="0"/>
    </xf>
    <xf numFmtId="43" fontId="39" fillId="2" borderId="0" xfId="1" applyFont="1" applyFill="1" applyBorder="1" applyAlignment="1" applyProtection="1">
      <alignment horizontal="center"/>
      <protection locked="0"/>
    </xf>
    <xf numFmtId="43" fontId="39" fillId="2" borderId="10" xfId="1" applyFont="1" applyFill="1" applyBorder="1" applyAlignment="1" applyProtection="1">
      <alignment horizontal="center"/>
      <protection locked="0"/>
    </xf>
    <xf numFmtId="0" fontId="78" fillId="0" borderId="0" xfId="0" applyFont="1" applyAlignment="1" applyProtection="1">
      <alignment wrapText="1"/>
      <protection hidden="1"/>
    </xf>
    <xf numFmtId="0" fontId="0" fillId="0" borderId="0" xfId="0" applyAlignment="1"/>
    <xf numFmtId="0" fontId="78" fillId="0" borderId="21" xfId="0" applyFont="1" applyBorder="1" applyAlignment="1" applyProtection="1">
      <alignment horizontal="left" vertical="top" wrapText="1"/>
      <protection hidden="1"/>
    </xf>
    <xf numFmtId="0" fontId="5" fillId="0" borderId="21" xfId="0" applyFont="1" applyBorder="1" applyAlignment="1">
      <alignment horizontal="left"/>
    </xf>
  </cellXfs>
  <cellStyles count="3">
    <cellStyle name="Comma" xfId="1" builtinId="3"/>
    <cellStyle name="Hyperlink" xfId="2" builtinId="8"/>
    <cellStyle name="Normal" xfId="0" builtinId="0"/>
  </cellStyles>
  <dxfs count="4">
    <dxf>
      <fill>
        <patternFill>
          <bgColor indexed="8"/>
        </patternFill>
      </fill>
    </dxf>
    <dxf>
      <font>
        <strike val="0"/>
        <outline val="0"/>
        <shadow val="0"/>
        <vertAlign val="baseline"/>
        <name val="Calibri"/>
        <scheme val="minor"/>
      </font>
      <fill>
        <patternFill patternType="solid">
          <fgColor indexed="64"/>
          <bgColor theme="0"/>
        </patternFill>
      </fill>
    </dxf>
    <dxf>
      <font>
        <strike val="0"/>
        <outline val="0"/>
        <shadow val="0"/>
        <vertAlign val="baseline"/>
        <name val="Calibri"/>
        <scheme val="minor"/>
      </font>
      <fill>
        <patternFill patternType="solid">
          <fgColor indexed="64"/>
          <bgColor theme="0"/>
        </patternFill>
      </fill>
    </dxf>
    <dxf>
      <font>
        <b/>
        <i val="0"/>
        <strike val="0"/>
        <condense val="0"/>
        <extend val="0"/>
        <outline val="0"/>
        <shadow val="0"/>
        <u val="none"/>
        <vertAlign val="baseline"/>
        <sz val="10"/>
        <color indexed="9"/>
        <name val="Calibri"/>
        <scheme val="minor"/>
      </font>
      <fill>
        <patternFill patternType="solid">
          <fgColor indexed="64"/>
          <bgColor theme="0"/>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asis of Costs'!A1"/><Relationship Id="rId2" Type="http://schemas.openxmlformats.org/officeDocument/2006/relationships/hyperlink" Target="#'Cost of Attendance'!A1"/><Relationship Id="rId1" Type="http://schemas.openxmlformats.org/officeDocument/2006/relationships/hyperlink" Target="#Introduction!A1"/><Relationship Id="rId5" Type="http://schemas.openxmlformats.org/officeDocument/2006/relationships/image" Target="../media/image1.jpeg"/><Relationship Id="rId4" Type="http://schemas.openxmlformats.org/officeDocument/2006/relationships/hyperlink" Target="http://www.lse.ac.uk/intranet/LSEServices/financeDivision/feesAndStudentFinance/feesAndLoans/LoansUSA.asp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548640</xdr:colOff>
      <xdr:row>5</xdr:row>
      <xdr:rowOff>142875</xdr:rowOff>
    </xdr:from>
    <xdr:to>
      <xdr:col>5</xdr:col>
      <xdr:colOff>529627</xdr:colOff>
      <xdr:row>13</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85ACF260-8A5C-06FA-DE2E-23CA7A68AA76}"/>
            </a:ext>
          </a:extLst>
        </xdr:cNvPr>
        <xdr:cNvSpPr txBox="1"/>
      </xdr:nvSpPr>
      <xdr:spPr>
        <a:xfrm>
          <a:off x="1152525" y="9525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600" b="1"/>
            <a:t>Step</a:t>
          </a:r>
          <a:r>
            <a:rPr lang="en-GB" sz="1600" b="1" baseline="0"/>
            <a:t> 1: </a:t>
          </a:r>
          <a:r>
            <a:rPr lang="en-GB" sz="1600" b="1"/>
            <a:t>Introduction </a:t>
          </a:r>
          <a:endParaRPr lang="en-GB" sz="1100" b="1"/>
        </a:p>
        <a:p>
          <a:pPr algn="ctr"/>
          <a:r>
            <a:rPr lang="en-GB" sz="1100" b="1"/>
            <a:t>Information</a:t>
          </a:r>
          <a:r>
            <a:rPr lang="en-GB" sz="1100" b="1" baseline="0"/>
            <a:t> only - please read</a:t>
          </a:r>
          <a:endParaRPr lang="en-GB" sz="1100" b="1"/>
        </a:p>
      </xdr:txBody>
    </xdr:sp>
    <xdr:clientData/>
  </xdr:twoCellAnchor>
  <xdr:twoCellAnchor>
    <xdr:from>
      <xdr:col>6</xdr:col>
      <xdr:colOff>121920</xdr:colOff>
      <xdr:row>6</xdr:row>
      <xdr:rowOff>0</xdr:rowOff>
    </xdr:from>
    <xdr:to>
      <xdr:col>10</xdr:col>
      <xdr:colOff>114314</xdr:colOff>
      <xdr:row>13</xdr:row>
      <xdr:rowOff>28575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7D336566-C2E2-E5C0-46E3-14D08C7AF324}"/>
            </a:ext>
          </a:extLst>
        </xdr:cNvPr>
        <xdr:cNvSpPr txBox="1"/>
      </xdr:nvSpPr>
      <xdr:spPr>
        <a:xfrm>
          <a:off x="3781425" y="97155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Step 3: Cost of attendance spreadsheet</a:t>
          </a:r>
        </a:p>
      </xdr:txBody>
    </xdr:sp>
    <xdr:clientData/>
  </xdr:twoCellAnchor>
  <xdr:twoCellAnchor>
    <xdr:from>
      <xdr:col>1</xdr:col>
      <xdr:colOff>558165</xdr:colOff>
      <xdr:row>13</xdr:row>
      <xdr:rowOff>104775</xdr:rowOff>
    </xdr:from>
    <xdr:to>
      <xdr:col>5</xdr:col>
      <xdr:colOff>550559</xdr:colOff>
      <xdr:row>20</xdr:row>
      <xdr:rowOff>133350</xdr:rowOff>
    </xdr:to>
    <xdr:sp macro="" textlink="">
      <xdr:nvSpPr>
        <xdr:cNvPr id="5" name="TextBox 4">
          <a:hlinkClick xmlns:r="http://schemas.openxmlformats.org/officeDocument/2006/relationships" r:id="rId3"/>
          <a:extLst>
            <a:ext uri="{FF2B5EF4-FFF2-40B4-BE49-F238E27FC236}">
              <a16:creationId xmlns:a16="http://schemas.microsoft.com/office/drawing/2014/main" id="{C7124334-DBED-5594-AD20-63170C6175BD}"/>
            </a:ext>
          </a:extLst>
        </xdr:cNvPr>
        <xdr:cNvSpPr txBox="1"/>
      </xdr:nvSpPr>
      <xdr:spPr>
        <a:xfrm>
          <a:off x="1171575" y="22098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100" b="0"/>
        </a:p>
        <a:p>
          <a:pPr algn="ctr"/>
          <a:endParaRPr lang="en-GB" sz="1400" b="1"/>
        </a:p>
        <a:p>
          <a:pPr algn="ctr"/>
          <a:r>
            <a:rPr lang="en-GB" sz="1600" b="1"/>
            <a:t>Step 2: Basis</a:t>
          </a:r>
          <a:r>
            <a:rPr lang="en-GB" sz="1600" b="1" baseline="0"/>
            <a:t> of costs</a:t>
          </a:r>
          <a:endParaRPr lang="en-GB" sz="1600" b="1"/>
        </a:p>
        <a:p>
          <a:pPr marL="0" marR="0" indent="0" algn="ctr"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Information</a:t>
          </a:r>
          <a:r>
            <a:rPr lang="en-GB" sz="1100" b="1" baseline="0">
              <a:solidFill>
                <a:schemeClr val="dk1"/>
              </a:solidFill>
              <a:effectLst/>
              <a:latin typeface="+mn-lt"/>
              <a:ea typeface="+mn-ea"/>
              <a:cs typeface="+mn-cs"/>
            </a:rPr>
            <a:t> only - please read</a:t>
          </a:r>
          <a:endParaRPr lang="en-GB" sz="1400">
            <a:effectLst/>
          </a:endParaRPr>
        </a:p>
        <a:p>
          <a:pPr algn="ctr"/>
          <a:endParaRPr lang="en-GB" sz="1400" b="1"/>
        </a:p>
      </xdr:txBody>
    </xdr:sp>
    <xdr:clientData/>
  </xdr:twoCellAnchor>
  <xdr:twoCellAnchor editAs="oneCell">
    <xdr:from>
      <xdr:col>11</xdr:col>
      <xdr:colOff>219075</xdr:colOff>
      <xdr:row>1</xdr:row>
      <xdr:rowOff>95250</xdr:rowOff>
    </xdr:from>
    <xdr:to>
      <xdr:col>18</xdr:col>
      <xdr:colOff>447675</xdr:colOff>
      <xdr:row>8</xdr:row>
      <xdr:rowOff>9525</xdr:rowOff>
    </xdr:to>
    <xdr:pic>
      <xdr:nvPicPr>
        <xdr:cNvPr id="17898" name="Picture 5">
          <a:hlinkClick xmlns:r="http://schemas.openxmlformats.org/officeDocument/2006/relationships" r:id="rId4"/>
          <a:extLst>
            <a:ext uri="{FF2B5EF4-FFF2-40B4-BE49-F238E27FC236}">
              <a16:creationId xmlns:a16="http://schemas.microsoft.com/office/drawing/2014/main" id="{CD626D84-2228-2D56-3784-49B9D6BAD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675" y="257175"/>
          <a:ext cx="4495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550545</xdr:colOff>
      <xdr:row>23</xdr:row>
      <xdr:rowOff>66675</xdr:rowOff>
    </xdr:from>
    <xdr:to>
      <xdr:col>5</xdr:col>
      <xdr:colOff>340995</xdr:colOff>
      <xdr:row>25</xdr:row>
      <xdr:rowOff>76200</xdr:rowOff>
    </xdr:to>
    <xdr:sp macro="" textlink="">
      <xdr:nvSpPr>
        <xdr:cNvPr id="12" name="TextBox 11">
          <a:extLst>
            <a:ext uri="{FF2B5EF4-FFF2-40B4-BE49-F238E27FC236}">
              <a16:creationId xmlns:a16="http://schemas.microsoft.com/office/drawing/2014/main" id="{19EDC105-0A5C-4125-DD4C-FB4B52C28670}"/>
            </a:ext>
          </a:extLst>
        </xdr:cNvPr>
        <xdr:cNvSpPr txBox="1"/>
      </xdr:nvSpPr>
      <xdr:spPr>
        <a:xfrm>
          <a:off x="1162050" y="3790950"/>
          <a:ext cx="2228850" cy="333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Useful links and information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7715250</xdr:colOff>
      <xdr:row>0</xdr:row>
      <xdr:rowOff>76200</xdr:rowOff>
    </xdr:from>
    <xdr:to>
      <xdr:col>4</xdr:col>
      <xdr:colOff>190500</xdr:colOff>
      <xdr:row>2</xdr:row>
      <xdr:rowOff>180975</xdr:rowOff>
    </xdr:to>
    <xdr:pic>
      <xdr:nvPicPr>
        <xdr:cNvPr id="16557" name="Picture 1">
          <a:extLst>
            <a:ext uri="{FF2B5EF4-FFF2-40B4-BE49-F238E27FC236}">
              <a16:creationId xmlns:a16="http://schemas.microsoft.com/office/drawing/2014/main" id="{DC0C28D5-273A-FB0E-D00B-FA1DCE7C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76200"/>
          <a:ext cx="249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7802880</xdr:colOff>
      <xdr:row>4</xdr:row>
      <xdr:rowOff>131445</xdr:rowOff>
    </xdr:from>
    <xdr:to>
      <xdr:col>4</xdr:col>
      <xdr:colOff>550377</xdr:colOff>
      <xdr:row>10</xdr:row>
      <xdr:rowOff>102870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588EDF-4D47-C896-208D-0513AEDCA300}"/>
            </a:ext>
          </a:extLst>
        </xdr:cNvPr>
        <xdr:cNvSpPr txBox="1"/>
      </xdr:nvSpPr>
      <xdr:spPr>
        <a:xfrm>
          <a:off x="7800975" y="971550"/>
          <a:ext cx="2771775" cy="9810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bg1"/>
            </a:solidFill>
          </a:endParaRPr>
        </a:p>
        <a:p>
          <a:endParaRPr lang="en-GB" sz="1100">
            <a:solidFill>
              <a:schemeClr val="bg1"/>
            </a:solidFill>
          </a:endParaRPr>
        </a:p>
        <a:p>
          <a:pPr algn="ctr"/>
          <a:r>
            <a:rPr lang="en-GB" sz="1600" b="1">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331472</xdr:colOff>
      <xdr:row>4</xdr:row>
      <xdr:rowOff>169443</xdr:rowOff>
    </xdr:to>
    <xdr:sp macro="" textlink="">
      <xdr:nvSpPr>
        <xdr:cNvPr id="7" name="TextBox 6">
          <a:hlinkClick xmlns:r="http://schemas.openxmlformats.org/officeDocument/2006/relationships" r:id="rId1"/>
          <a:extLst>
            <a:ext uri="{FF2B5EF4-FFF2-40B4-BE49-F238E27FC236}">
              <a16:creationId xmlns:a16="http://schemas.microsoft.com/office/drawing/2014/main" id="{C20A1F5C-A812-CD4A-2989-DF633FC83A3A}"/>
            </a:ext>
          </a:extLst>
        </xdr:cNvPr>
        <xdr:cNvSpPr txBox="1"/>
      </xdr:nvSpPr>
      <xdr:spPr>
        <a:xfrm>
          <a:off x="8896350" y="476250"/>
          <a:ext cx="2771775" cy="981075"/>
        </a:xfrm>
        <a:prstGeom prst="rect">
          <a:avLst/>
        </a:prstGeom>
        <a:solidFill>
          <a:srgbClr val="4F81BD">
            <a:lumMod val="60000"/>
            <a:lumOff val="4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a:ea typeface="+mn-ea"/>
              <a:cs typeface="+mn-cs"/>
            </a:rPr>
            <a:t>BACK TO 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41094</xdr:colOff>
      <xdr:row>40</xdr:row>
      <xdr:rowOff>32387</xdr:rowOff>
    </xdr:from>
    <xdr:to>
      <xdr:col>2</xdr:col>
      <xdr:colOff>4328160</xdr:colOff>
      <xdr:row>47</xdr:row>
      <xdr:rowOff>68580</xdr:rowOff>
    </xdr:to>
    <xdr:sp macro="" textlink="">
      <xdr:nvSpPr>
        <xdr:cNvPr id="1025" name="Text Box 1">
          <a:extLst>
            <a:ext uri="{FF2B5EF4-FFF2-40B4-BE49-F238E27FC236}">
              <a16:creationId xmlns:a16="http://schemas.microsoft.com/office/drawing/2014/main" id="{CA1A11D1-C72D-E96F-C3AA-A269F4FBEBF4}"/>
            </a:ext>
          </a:extLst>
        </xdr:cNvPr>
        <xdr:cNvSpPr txBox="1">
          <a:spLocks noChangeArrowheads="1"/>
        </xdr:cNvSpPr>
      </xdr:nvSpPr>
      <xdr:spPr bwMode="auto">
        <a:xfrm>
          <a:off x="41094" y="8361047"/>
          <a:ext cx="7251246" cy="1423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GB" sz="1200" b="1" i="0" u="sng" strike="noStrike" baseline="0">
              <a:solidFill>
                <a:srgbClr val="000000"/>
              </a:solidFill>
              <a:latin typeface="Arial" panose="020B0604020202020204" pitchFamily="34" charset="0"/>
              <a:cs typeface="Arial" panose="020B0604020202020204" pitchFamily="34" charset="0"/>
            </a:rPr>
            <a:t>These are the maximum estimated figures</a:t>
          </a:r>
        </a:p>
        <a:p>
          <a:pPr algn="l" rtl="0">
            <a:defRPr sz="1000"/>
          </a:pPr>
          <a:endParaRPr lang="en-GB"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0" i="0" u="none" strike="noStrike" baseline="0">
              <a:solidFill>
                <a:srgbClr val="000000"/>
              </a:solidFill>
              <a:latin typeface="Arial" panose="020B0604020202020204" pitchFamily="34" charset="0"/>
              <a:cs typeface="Arial" panose="020B0604020202020204" pitchFamily="34" charset="0"/>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123825</xdr:colOff>
      <xdr:row>0</xdr:row>
      <xdr:rowOff>95250</xdr:rowOff>
    </xdr:from>
    <xdr:to>
      <xdr:col>2</xdr:col>
      <xdr:colOff>0</xdr:colOff>
      <xdr:row>3</xdr:row>
      <xdr:rowOff>38100</xdr:rowOff>
    </xdr:to>
    <xdr:pic>
      <xdr:nvPicPr>
        <xdr:cNvPr id="1383" name="Picture 1">
          <a:extLst>
            <a:ext uri="{FF2B5EF4-FFF2-40B4-BE49-F238E27FC236}">
              <a16:creationId xmlns:a16="http://schemas.microsoft.com/office/drawing/2014/main" id="{F9116BB2-BB13-E33E-EE2B-E4B3C20D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8384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2447925</xdr:colOff>
      <xdr:row>38</xdr:row>
      <xdr:rowOff>133350</xdr:rowOff>
    </xdr:from>
    <xdr:to>
      <xdr:col>2</xdr:col>
      <xdr:colOff>38100</xdr:colOff>
      <xdr:row>48</xdr:row>
      <xdr:rowOff>114300</xdr:rowOff>
    </xdr:to>
    <xdr:pic>
      <xdr:nvPicPr>
        <xdr:cNvPr id="10472" name="Picture 3">
          <a:extLst>
            <a:ext uri="{FF2B5EF4-FFF2-40B4-BE49-F238E27FC236}">
              <a16:creationId xmlns:a16="http://schemas.microsoft.com/office/drawing/2014/main" id="{0BE17608-ED65-F2EC-A704-2196E645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9010650"/>
          <a:ext cx="17049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1600200</xdr:colOff>
      <xdr:row>1</xdr:row>
      <xdr:rowOff>0</xdr:rowOff>
    </xdr:from>
    <xdr:to>
      <xdr:col>1</xdr:col>
      <xdr:colOff>3981450</xdr:colOff>
      <xdr:row>3</xdr:row>
      <xdr:rowOff>171450</xdr:rowOff>
    </xdr:to>
    <xdr:pic>
      <xdr:nvPicPr>
        <xdr:cNvPr id="10473" name="Picture 2">
          <a:extLst>
            <a:ext uri="{FF2B5EF4-FFF2-40B4-BE49-F238E27FC236}">
              <a16:creationId xmlns:a16="http://schemas.microsoft.com/office/drawing/2014/main" id="{C18FF756-8774-E51F-8EA5-3B667C6C7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161925"/>
          <a:ext cx="2381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1598295</xdr:colOff>
      <xdr:row>4</xdr:row>
      <xdr:rowOff>49530</xdr:rowOff>
    </xdr:from>
    <xdr:to>
      <xdr:col>1</xdr:col>
      <xdr:colOff>3933779</xdr:colOff>
      <xdr:row>7</xdr:row>
      <xdr:rowOff>116352</xdr:rowOff>
    </xdr:to>
    <xdr:sp macro="" textlink="">
      <xdr:nvSpPr>
        <xdr:cNvPr id="5" name="TextBox 4">
          <a:extLst>
            <a:ext uri="{FF2B5EF4-FFF2-40B4-BE49-F238E27FC236}">
              <a16:creationId xmlns:a16="http://schemas.microsoft.com/office/drawing/2014/main" id="{38908667-5876-B956-CB97-34C8CCDDAFEB}"/>
            </a:ext>
          </a:extLst>
        </xdr:cNvPr>
        <xdr:cNvSpPr txBox="1"/>
      </xdr:nvSpPr>
      <xdr:spPr>
        <a:xfrm>
          <a:off x="3552825" y="1600200"/>
          <a:ext cx="23241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2400300</xdr:colOff>
      <xdr:row>39</xdr:row>
      <xdr:rowOff>47625</xdr:rowOff>
    </xdr:from>
    <xdr:to>
      <xdr:col>1</xdr:col>
      <xdr:colOff>4105275</xdr:colOff>
      <xdr:row>48</xdr:row>
      <xdr:rowOff>200025</xdr:rowOff>
    </xdr:to>
    <xdr:pic>
      <xdr:nvPicPr>
        <xdr:cNvPr id="11505" name="Picture 3">
          <a:extLst>
            <a:ext uri="{FF2B5EF4-FFF2-40B4-BE49-F238E27FC236}">
              <a16:creationId xmlns:a16="http://schemas.microsoft.com/office/drawing/2014/main" id="{45691676-1ED5-22CB-8C70-7F69EBA4D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7696200"/>
          <a:ext cx="17049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0</xdr:row>
      <xdr:rowOff>28575</xdr:rowOff>
    </xdr:from>
    <xdr:to>
      <xdr:col>1</xdr:col>
      <xdr:colOff>3314700</xdr:colOff>
      <xdr:row>2</xdr:row>
      <xdr:rowOff>171450</xdr:rowOff>
    </xdr:to>
    <xdr:pic>
      <xdr:nvPicPr>
        <xdr:cNvPr id="11506" name="Picture 2">
          <a:extLst>
            <a:ext uri="{FF2B5EF4-FFF2-40B4-BE49-F238E27FC236}">
              <a16:creationId xmlns:a16="http://schemas.microsoft.com/office/drawing/2014/main" id="{BD06F20E-3199-EBB1-1F4E-5671C3431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8575"/>
          <a:ext cx="2390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926888</xdr:colOff>
      <xdr:row>3</xdr:row>
      <xdr:rowOff>11641</xdr:rowOff>
    </xdr:from>
    <xdr:to>
      <xdr:col>1</xdr:col>
      <xdr:colOff>3260954</xdr:colOff>
      <xdr:row>6</xdr:row>
      <xdr:rowOff>30741</xdr:rowOff>
    </xdr:to>
    <xdr:sp macro="" textlink="">
      <xdr:nvSpPr>
        <xdr:cNvPr id="4" name="TextBox 3">
          <a:extLst>
            <a:ext uri="{FF2B5EF4-FFF2-40B4-BE49-F238E27FC236}">
              <a16:creationId xmlns:a16="http://schemas.microsoft.com/office/drawing/2014/main" id="{3E6FE7B0-57D3-1A3C-2865-B8F27E7F3877}"/>
            </a:ext>
          </a:extLst>
        </xdr:cNvPr>
        <xdr:cNvSpPr txBox="1"/>
      </xdr:nvSpPr>
      <xdr:spPr>
        <a:xfrm>
          <a:off x="2873375" y="624416"/>
          <a:ext cx="2339975" cy="61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G8:G10" totalsRowShown="0" headerRowDxfId="3" dataDxfId="2">
  <autoFilter ref="G8:G10" xr:uid="{00000000-0009-0000-0100-000001000000}"/>
  <tableColumns count="1">
    <tableColumn id="1" xr3:uid="{00000000-0010-0000-0000-000001000000}" name="Depend"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
  <sheetViews>
    <sheetView showGridLines="0" showRowColHeaders="0" tabSelected="1" workbookViewId="0">
      <selection activeCell="G30" sqref="G30"/>
    </sheetView>
  </sheetViews>
  <sheetFormatPr defaultColWidth="9.1796875" defaultRowHeight="12.5" x14ac:dyDescent="0.25"/>
  <cols>
    <col min="1" max="3" width="9.1796875" style="271"/>
    <col min="4" max="4" width="9.1796875" style="271" customWidth="1"/>
    <col min="5" max="16384" width="9.1796875" style="271"/>
  </cols>
  <sheetData>
    <row r="4" spans="3:3" x14ac:dyDescent="0.25">
      <c r="C4" s="27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32"/>
  <sheetViews>
    <sheetView showGridLines="0" showRowColHeaders="0" workbookViewId="0">
      <selection sqref="A1:A28"/>
    </sheetView>
  </sheetViews>
  <sheetFormatPr defaultColWidth="9.1796875" defaultRowHeight="13" x14ac:dyDescent="0.3"/>
  <cols>
    <col min="1" max="1" width="122.81640625" style="118" bestFit="1" customWidth="1"/>
    <col min="2" max="16384" width="9.1796875" style="118"/>
  </cols>
  <sheetData>
    <row r="1" spans="1:1" s="117" customFormat="1" ht="18.5" x14ac:dyDescent="0.45">
      <c r="A1" s="430" t="s">
        <v>134</v>
      </c>
    </row>
    <row r="2" spans="1:1" s="117" customFormat="1" ht="18.5" x14ac:dyDescent="0.45">
      <c r="A2" s="430"/>
    </row>
    <row r="3" spans="1:1" ht="15.5" x14ac:dyDescent="0.35">
      <c r="A3" s="431" t="s">
        <v>126</v>
      </c>
    </row>
    <row r="4" spans="1:1" x14ac:dyDescent="0.3">
      <c r="A4" s="432" t="s">
        <v>116</v>
      </c>
    </row>
    <row r="5" spans="1:1" x14ac:dyDescent="0.3">
      <c r="A5" s="432" t="s">
        <v>117</v>
      </c>
    </row>
    <row r="6" spans="1:1" x14ac:dyDescent="0.3">
      <c r="A6" s="432" t="s">
        <v>120</v>
      </c>
    </row>
    <row r="7" spans="1:1" x14ac:dyDescent="0.3">
      <c r="A7" s="146"/>
    </row>
    <row r="8" spans="1:1" ht="15.5" x14ac:dyDescent="0.35">
      <c r="A8" s="433" t="s">
        <v>119</v>
      </c>
    </row>
    <row r="9" spans="1:1" x14ac:dyDescent="0.3">
      <c r="A9" s="432" t="s">
        <v>118</v>
      </c>
    </row>
    <row r="10" spans="1:1" x14ac:dyDescent="0.3">
      <c r="A10" s="432" t="s">
        <v>238</v>
      </c>
    </row>
    <row r="11" spans="1:1" x14ac:dyDescent="0.3">
      <c r="A11" s="432" t="s">
        <v>355</v>
      </c>
    </row>
    <row r="12" spans="1:1" x14ac:dyDescent="0.3">
      <c r="A12" s="432"/>
    </row>
    <row r="13" spans="1:1" s="119" customFormat="1" ht="15.5" x14ac:dyDescent="0.35">
      <c r="A13" s="431" t="s">
        <v>295</v>
      </c>
    </row>
    <row r="14" spans="1:1" s="119" customFormat="1" ht="15.5" x14ac:dyDescent="0.35">
      <c r="A14" s="434" t="s">
        <v>294</v>
      </c>
    </row>
    <row r="15" spans="1:1" x14ac:dyDescent="0.3">
      <c r="A15" s="435" t="s">
        <v>151</v>
      </c>
    </row>
    <row r="16" spans="1:1" x14ac:dyDescent="0.3">
      <c r="A16" s="432" t="s">
        <v>350</v>
      </c>
    </row>
    <row r="17" spans="1:1" x14ac:dyDescent="0.3">
      <c r="A17" s="432" t="s">
        <v>351</v>
      </c>
    </row>
    <row r="18" spans="1:1" x14ac:dyDescent="0.3">
      <c r="A18" s="432" t="s">
        <v>352</v>
      </c>
    </row>
    <row r="19" spans="1:1" x14ac:dyDescent="0.3">
      <c r="A19" s="432" t="s">
        <v>353</v>
      </c>
    </row>
    <row r="20" spans="1:1" x14ac:dyDescent="0.3">
      <c r="A20" s="432" t="s">
        <v>121</v>
      </c>
    </row>
    <row r="21" spans="1:1" x14ac:dyDescent="0.3">
      <c r="A21" s="432" t="s">
        <v>122</v>
      </c>
    </row>
    <row r="22" spans="1:1" x14ac:dyDescent="0.3">
      <c r="A22" s="432" t="s">
        <v>354</v>
      </c>
    </row>
    <row r="23" spans="1:1" x14ac:dyDescent="0.3">
      <c r="A23" s="146"/>
    </row>
    <row r="24" spans="1:1" s="119" customFormat="1" ht="15.5" x14ac:dyDescent="0.35">
      <c r="A24" s="431" t="s">
        <v>237</v>
      </c>
    </row>
    <row r="25" spans="1:1" x14ac:dyDescent="0.3">
      <c r="A25" s="432" t="s">
        <v>239</v>
      </c>
    </row>
    <row r="26" spans="1:1" x14ac:dyDescent="0.3">
      <c r="A26" s="432" t="s">
        <v>280</v>
      </c>
    </row>
    <row r="27" spans="1:1" x14ac:dyDescent="0.3">
      <c r="A27" s="134"/>
    </row>
    <row r="28" spans="1:1" x14ac:dyDescent="0.3">
      <c r="A28" s="436" t="s">
        <v>356</v>
      </c>
    </row>
    <row r="29" spans="1:1" s="119" customFormat="1" ht="15.5" x14ac:dyDescent="0.35">
      <c r="A29" s="121"/>
    </row>
    <row r="30" spans="1:1" s="120" customFormat="1" x14ac:dyDescent="0.3">
      <c r="A30" s="122"/>
    </row>
    <row r="31" spans="1:1" ht="15.5" x14ac:dyDescent="0.35">
      <c r="A31" s="123"/>
    </row>
    <row r="32" spans="1:1" s="120" customFormat="1" x14ac:dyDescent="0.3"/>
  </sheetData>
  <sheetProtection algorithmName="SHA-512" hashValue="Ia5SUPI73bxnR6yXcXZ7JUfdKJri9ZY+yk2GfpIUQd5iZMzgQxHSr7/ZSJuu9TCNl6gFNz0k2DgdmPTleOuI8Q==" saltValue="h6fomK0Zn+vbRq2ycJx7nA==" spinCount="100000" sheet="1" selectLockedCells="1" selectUnlockedCells="1"/>
  <phoneticPr fontId="3"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31"/>
  <sheetViews>
    <sheetView showGridLines="0" showRowColHeaders="0" workbookViewId="0">
      <selection sqref="A1:B31"/>
    </sheetView>
  </sheetViews>
  <sheetFormatPr defaultColWidth="9.1796875" defaultRowHeight="13" x14ac:dyDescent="0.3"/>
  <cols>
    <col min="1" max="1" width="24.1796875" style="91" customWidth="1"/>
    <col min="2" max="2" width="100.1796875" style="89" customWidth="1"/>
    <col min="3" max="16384" width="9.1796875" style="90"/>
  </cols>
  <sheetData>
    <row r="1" spans="1:2" s="88" customFormat="1" ht="18.5" x14ac:dyDescent="0.45">
      <c r="A1" s="420" t="s">
        <v>142</v>
      </c>
      <c r="B1" s="421"/>
    </row>
    <row r="2" spans="1:2" ht="18.5" x14ac:dyDescent="0.3">
      <c r="A2" s="422"/>
      <c r="B2" s="423"/>
    </row>
    <row r="3" spans="1:2" ht="46" x14ac:dyDescent="0.3">
      <c r="A3" s="424" t="s">
        <v>135</v>
      </c>
      <c r="B3" s="425" t="s">
        <v>319</v>
      </c>
    </row>
    <row r="4" spans="1:2" x14ac:dyDescent="0.3">
      <c r="A4" s="424"/>
      <c r="B4" s="425"/>
    </row>
    <row r="5" spans="1:2" ht="34.5" x14ac:dyDescent="0.3">
      <c r="A5" s="399" t="s">
        <v>0</v>
      </c>
      <c r="B5" s="425" t="s">
        <v>277</v>
      </c>
    </row>
    <row r="6" spans="1:2" x14ac:dyDescent="0.3">
      <c r="A6" s="424"/>
      <c r="B6" s="425"/>
    </row>
    <row r="7" spans="1:2" x14ac:dyDescent="0.3">
      <c r="A7" s="424"/>
      <c r="B7" s="425"/>
    </row>
    <row r="8" spans="1:2" x14ac:dyDescent="0.3">
      <c r="A8" s="399" t="s">
        <v>4</v>
      </c>
      <c r="B8" s="425" t="s">
        <v>136</v>
      </c>
    </row>
    <row r="9" spans="1:2" x14ac:dyDescent="0.3">
      <c r="A9" s="424"/>
      <c r="B9" s="425"/>
    </row>
    <row r="10" spans="1:2" x14ac:dyDescent="0.3">
      <c r="A10" s="399" t="s">
        <v>31</v>
      </c>
      <c r="B10" s="425" t="s">
        <v>278</v>
      </c>
    </row>
    <row r="11" spans="1:2" x14ac:dyDescent="0.3">
      <c r="A11" s="424"/>
      <c r="B11" s="425"/>
    </row>
    <row r="12" spans="1:2" x14ac:dyDescent="0.3">
      <c r="A12" s="424"/>
      <c r="B12" s="425"/>
    </row>
    <row r="13" spans="1:2" x14ac:dyDescent="0.3">
      <c r="A13" s="424" t="s">
        <v>137</v>
      </c>
      <c r="B13" s="425" t="s">
        <v>156</v>
      </c>
    </row>
    <row r="14" spans="1:2" x14ac:dyDescent="0.3">
      <c r="A14" s="424"/>
      <c r="B14" s="425"/>
    </row>
    <row r="15" spans="1:2" x14ac:dyDescent="0.3">
      <c r="A15" s="424" t="s">
        <v>138</v>
      </c>
      <c r="B15" s="425" t="s">
        <v>349</v>
      </c>
    </row>
    <row r="16" spans="1:2" x14ac:dyDescent="0.3">
      <c r="A16" s="424"/>
      <c r="B16" s="425"/>
    </row>
    <row r="17" spans="1:2" x14ac:dyDescent="0.3">
      <c r="A17" s="424" t="s">
        <v>139</v>
      </c>
      <c r="B17" s="425" t="s">
        <v>285</v>
      </c>
    </row>
    <row r="18" spans="1:2" x14ac:dyDescent="0.3">
      <c r="A18" s="424"/>
      <c r="B18" s="425"/>
    </row>
    <row r="19" spans="1:2" ht="46" x14ac:dyDescent="0.3">
      <c r="A19" s="424" t="s">
        <v>141</v>
      </c>
      <c r="B19" s="425" t="s">
        <v>157</v>
      </c>
    </row>
    <row r="20" spans="1:2" x14ac:dyDescent="0.3">
      <c r="A20" s="424"/>
      <c r="B20" s="425"/>
    </row>
    <row r="21" spans="1:2" x14ac:dyDescent="0.3">
      <c r="A21" s="424" t="s">
        <v>175</v>
      </c>
      <c r="B21" s="425" t="s">
        <v>176</v>
      </c>
    </row>
    <row r="22" spans="1:2" x14ac:dyDescent="0.3">
      <c r="A22" s="424"/>
      <c r="B22" s="425"/>
    </row>
    <row r="23" spans="1:2" x14ac:dyDescent="0.3">
      <c r="A23" s="424"/>
      <c r="B23" s="425"/>
    </row>
    <row r="24" spans="1:2" x14ac:dyDescent="0.3">
      <c r="A24" s="424"/>
      <c r="B24" s="425"/>
    </row>
    <row r="25" spans="1:2" x14ac:dyDescent="0.3">
      <c r="A25" s="424" t="s">
        <v>143</v>
      </c>
      <c r="B25" s="425" t="s">
        <v>144</v>
      </c>
    </row>
    <row r="26" spans="1:2" x14ac:dyDescent="0.3">
      <c r="A26" s="424"/>
      <c r="B26" s="425" t="s">
        <v>283</v>
      </c>
    </row>
    <row r="27" spans="1:2" x14ac:dyDescent="0.3">
      <c r="A27" s="424"/>
      <c r="B27" s="425" t="s">
        <v>320</v>
      </c>
    </row>
    <row r="28" spans="1:2" x14ac:dyDescent="0.3">
      <c r="A28" s="424"/>
      <c r="B28" s="425"/>
    </row>
    <row r="29" spans="1:2" x14ac:dyDescent="0.3">
      <c r="A29" s="424" t="s">
        <v>145</v>
      </c>
      <c r="B29" s="426" t="s">
        <v>357</v>
      </c>
    </row>
    <row r="30" spans="1:2" x14ac:dyDescent="0.3">
      <c r="A30" s="427"/>
      <c r="B30" s="428"/>
    </row>
    <row r="31" spans="1:2" x14ac:dyDescent="0.3">
      <c r="A31" s="429"/>
      <c r="B31" s="423"/>
    </row>
  </sheetData>
  <sheetProtection algorithmName="SHA-512" hashValue="ZCZZVtc+YwMMFya0s2jvjp+c3EKYA4eEdSPkLjDPpUfARBM9Z45gqdjMfzDjE+Pvvq0mMhgyF+OwSSgrBW4p/Q==" saltValue="QjRgKsq0hRqb9TII8W/0iA==" spinCount="100000" sheet="1" select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BF126"/>
  <sheetViews>
    <sheetView showGridLines="0" showRowColHeaders="0" zoomScaleNormal="100" workbookViewId="0">
      <selection activeCell="C14" sqref="C14:E14"/>
    </sheetView>
  </sheetViews>
  <sheetFormatPr defaultColWidth="9.1796875" defaultRowHeight="13" x14ac:dyDescent="0.3"/>
  <cols>
    <col min="1" max="1" width="29.7265625" style="82" bestFit="1" customWidth="1"/>
    <col min="2" max="2" width="14.7265625" style="82" customWidth="1"/>
    <col min="3" max="3" width="96.453125" style="84" customWidth="1"/>
    <col min="4" max="4" width="34.54296875" style="83" bestFit="1" customWidth="1"/>
    <col min="5" max="5" width="21.453125" style="83" customWidth="1"/>
    <col min="6" max="6" width="8.453125" style="142" customWidth="1"/>
    <col min="7" max="7" width="45.26953125" style="143" hidden="1" customWidth="1"/>
    <col min="8" max="8" width="62.26953125" style="143" hidden="1" customWidth="1"/>
    <col min="9" max="9" width="18.54296875" style="143" hidden="1" customWidth="1"/>
    <col min="10" max="10" width="20.81640625" style="143" hidden="1" customWidth="1"/>
    <col min="11" max="11" width="41.453125" style="143" hidden="1" customWidth="1"/>
    <col min="12" max="12" width="20.54296875" style="143" hidden="1" customWidth="1"/>
    <col min="13" max="13" width="20.1796875" style="143" hidden="1" customWidth="1"/>
    <col min="14" max="14" width="16.1796875" style="143" hidden="1" customWidth="1"/>
    <col min="15" max="15" width="10.81640625" style="143" hidden="1" customWidth="1"/>
    <col min="16" max="16" width="7.54296875" style="143" hidden="1" customWidth="1"/>
    <col min="17" max="17" width="7.7265625" style="144" customWidth="1"/>
    <col min="18" max="18" width="5.453125" style="145" customWidth="1"/>
    <col min="19" max="19" width="7.54296875" style="145" customWidth="1"/>
    <col min="20" max="24" width="9.1796875" style="145"/>
    <col min="25" max="58" width="9.1796875" style="146"/>
    <col min="59" max="16384" width="9.1796875" style="84"/>
  </cols>
  <sheetData>
    <row r="1" spans="1:58" s="130" customFormat="1" ht="21" x14ac:dyDescent="0.5">
      <c r="A1" s="61"/>
      <c r="B1" s="61"/>
      <c r="C1" s="62"/>
      <c r="D1" s="63"/>
      <c r="E1" s="64"/>
      <c r="F1" s="125"/>
      <c r="G1" s="126"/>
      <c r="H1" s="126"/>
      <c r="I1" s="126"/>
      <c r="J1" s="126"/>
      <c r="K1" s="126"/>
      <c r="L1" s="127"/>
      <c r="M1" s="127"/>
      <c r="N1" s="127"/>
      <c r="O1" s="127"/>
      <c r="P1" s="127"/>
      <c r="Q1" s="128"/>
      <c r="R1" s="129"/>
      <c r="S1" s="129"/>
      <c r="T1" s="129"/>
      <c r="U1" s="129"/>
      <c r="V1" s="129"/>
      <c r="W1" s="129"/>
      <c r="X1" s="129"/>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row>
    <row r="2" spans="1:58" s="130" customFormat="1" ht="18" customHeight="1" x14ac:dyDescent="0.5">
      <c r="A2" s="61"/>
      <c r="B2" s="61"/>
      <c r="C2" s="65" t="s">
        <v>24</v>
      </c>
      <c r="D2" s="63"/>
      <c r="E2" s="64"/>
      <c r="F2" s="125"/>
      <c r="G2" s="127"/>
      <c r="H2" s="126"/>
      <c r="I2" s="126"/>
      <c r="J2" s="127"/>
      <c r="K2" s="127"/>
      <c r="L2" s="127"/>
      <c r="M2" s="127"/>
      <c r="N2" s="127"/>
      <c r="O2" s="127"/>
      <c r="P2" s="127"/>
      <c r="Q2" s="128"/>
      <c r="R2" s="129"/>
      <c r="S2" s="129"/>
      <c r="T2" s="129"/>
      <c r="U2" s="129"/>
      <c r="V2" s="129"/>
      <c r="W2" s="129"/>
      <c r="X2" s="129"/>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row>
    <row r="3" spans="1:58" s="136" customFormat="1" ht="18" customHeight="1" x14ac:dyDescent="0.5">
      <c r="A3" s="66"/>
      <c r="B3" s="66"/>
      <c r="C3" s="65" t="s">
        <v>25</v>
      </c>
      <c r="D3" s="67"/>
      <c r="E3" s="68"/>
      <c r="F3" s="131"/>
      <c r="G3" s="132"/>
      <c r="H3" s="133"/>
      <c r="I3" s="133"/>
      <c r="J3" s="132"/>
      <c r="K3" s="132"/>
      <c r="L3" s="132"/>
      <c r="M3" s="132"/>
      <c r="N3" s="132"/>
      <c r="O3" s="132"/>
      <c r="P3" s="132"/>
      <c r="Q3" s="134"/>
      <c r="R3" s="135"/>
      <c r="S3" s="135"/>
      <c r="T3" s="135"/>
      <c r="U3" s="135"/>
      <c r="V3" s="135"/>
      <c r="W3" s="135"/>
      <c r="X3" s="135"/>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row>
    <row r="4" spans="1:58" s="136" customFormat="1" ht="18" customHeight="1" x14ac:dyDescent="0.5">
      <c r="A4" s="66"/>
      <c r="B4" s="66"/>
      <c r="C4" s="65" t="str">
        <f>"for Academic Year "&amp; 'School DATA'!D6</f>
        <v>for Academic Year 2025/26</v>
      </c>
      <c r="D4" s="69"/>
      <c r="E4" s="69"/>
      <c r="F4" s="131"/>
      <c r="G4" s="132"/>
      <c r="H4" s="133"/>
      <c r="I4" s="133"/>
      <c r="J4" s="132"/>
      <c r="K4" s="132"/>
      <c r="L4" s="132"/>
      <c r="M4" s="132"/>
      <c r="N4" s="132"/>
      <c r="O4" s="132"/>
      <c r="P4" s="132"/>
      <c r="Q4" s="134"/>
      <c r="R4" s="135"/>
      <c r="S4" s="135"/>
      <c r="T4" s="135"/>
      <c r="U4" s="135"/>
      <c r="V4" s="135"/>
      <c r="W4" s="135"/>
      <c r="X4" s="135"/>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row>
    <row r="5" spans="1:58" s="136" customFormat="1" x14ac:dyDescent="0.3">
      <c r="A5" s="66"/>
      <c r="B5" s="66"/>
      <c r="C5" s="70" t="s">
        <v>181</v>
      </c>
      <c r="D5" s="69"/>
      <c r="E5" s="69"/>
      <c r="F5" s="137"/>
      <c r="G5" s="132"/>
      <c r="H5" s="138">
        <f>'School DATA'!H48</f>
        <v>115569</v>
      </c>
      <c r="I5" s="139" t="s">
        <v>23</v>
      </c>
      <c r="J5" s="133"/>
      <c r="K5" s="133"/>
      <c r="L5" s="132"/>
      <c r="M5" s="132"/>
      <c r="N5" s="132"/>
      <c r="O5" s="132"/>
      <c r="P5" s="132"/>
      <c r="Q5" s="134"/>
      <c r="R5" s="135"/>
      <c r="S5" s="135"/>
      <c r="T5" s="135"/>
      <c r="U5" s="135"/>
      <c r="V5" s="135"/>
      <c r="W5" s="135"/>
      <c r="X5" s="135"/>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row>
    <row r="6" spans="1:58" s="136" customFormat="1" x14ac:dyDescent="0.3">
      <c r="A6" s="66"/>
      <c r="B6" s="66"/>
      <c r="C6" s="71" t="s">
        <v>259</v>
      </c>
      <c r="D6" s="69"/>
      <c r="E6" s="72">
        <f>'School DATA'!D8</f>
        <v>45896</v>
      </c>
      <c r="F6" s="137"/>
      <c r="G6" s="132"/>
      <c r="H6" s="138">
        <f>'School DATA'!H50</f>
        <v>120455.25732</v>
      </c>
      <c r="I6" s="139" t="s">
        <v>128</v>
      </c>
      <c r="J6" s="133"/>
      <c r="K6" s="133"/>
      <c r="L6" s="132"/>
      <c r="M6" s="132"/>
      <c r="N6" s="132"/>
      <c r="O6" s="132"/>
      <c r="P6" s="132"/>
      <c r="Q6" s="134"/>
      <c r="R6" s="135"/>
      <c r="S6" s="135"/>
      <c r="T6" s="135"/>
      <c r="U6" s="135"/>
      <c r="V6" s="135"/>
      <c r="W6" s="135"/>
      <c r="X6" s="135"/>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row>
    <row r="7" spans="1:58" s="136" customFormat="1" x14ac:dyDescent="0.3">
      <c r="A7" s="66"/>
      <c r="B7" s="66"/>
      <c r="C7" s="70" t="s">
        <v>305</v>
      </c>
      <c r="D7" s="69">
        <f>'School DATA'!H44</f>
        <v>1.3440000000000001</v>
      </c>
      <c r="E7" s="73">
        <f>'School DATA'!I29</f>
        <v>45896</v>
      </c>
      <c r="F7" s="131"/>
      <c r="G7" s="132"/>
      <c r="H7" s="139"/>
      <c r="I7" s="133"/>
      <c r="J7" s="132"/>
      <c r="K7" s="132"/>
      <c r="L7" s="132"/>
      <c r="M7" s="132"/>
      <c r="N7" s="132"/>
      <c r="O7" s="132"/>
      <c r="P7" s="132"/>
      <c r="Q7" s="134"/>
      <c r="R7" s="135"/>
      <c r="S7" s="135"/>
      <c r="T7" s="135"/>
      <c r="U7" s="135"/>
      <c r="V7" s="135"/>
      <c r="W7" s="135"/>
      <c r="X7" s="135"/>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row>
    <row r="8" spans="1:58" s="136" customFormat="1" x14ac:dyDescent="0.3">
      <c r="A8" s="66"/>
      <c r="B8" s="66"/>
      <c r="C8" s="74" t="s">
        <v>155</v>
      </c>
      <c r="D8" s="75"/>
      <c r="E8" s="76">
        <f>'School DATA'!I30</f>
        <v>45896</v>
      </c>
      <c r="F8" s="131"/>
      <c r="G8" s="132" t="s">
        <v>67</v>
      </c>
      <c r="H8" s="140" t="s">
        <v>20</v>
      </c>
      <c r="I8" s="140" t="s">
        <v>21</v>
      </c>
      <c r="J8" s="132"/>
      <c r="K8" s="132"/>
      <c r="L8" s="132"/>
      <c r="M8" s="132"/>
      <c r="N8" s="132"/>
      <c r="O8" s="132"/>
      <c r="P8" s="132"/>
      <c r="Q8" s="134"/>
      <c r="R8" s="135"/>
      <c r="S8" s="135"/>
      <c r="T8" s="135"/>
      <c r="U8" s="135"/>
      <c r="V8" s="135"/>
      <c r="W8" s="135"/>
      <c r="X8" s="135"/>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row>
    <row r="9" spans="1:58" s="136" customFormat="1" x14ac:dyDescent="0.3">
      <c r="A9" s="66"/>
      <c r="B9" s="66"/>
      <c r="C9" s="74" t="s">
        <v>39</v>
      </c>
      <c r="D9" s="77">
        <f>'School DATA'!E11</f>
        <v>44</v>
      </c>
      <c r="E9" s="68"/>
      <c r="F9" s="131"/>
      <c r="G9" s="132" t="s">
        <v>65</v>
      </c>
      <c r="H9" s="141" t="s">
        <v>6</v>
      </c>
      <c r="I9" s="141">
        <v>1</v>
      </c>
      <c r="J9" s="132"/>
      <c r="K9" s="132"/>
      <c r="L9" s="132"/>
      <c r="M9" s="132"/>
      <c r="N9" s="132"/>
      <c r="O9" s="132"/>
      <c r="P9" s="132"/>
      <c r="Q9" s="134"/>
      <c r="R9" s="135"/>
      <c r="S9" s="135"/>
      <c r="T9" s="135"/>
      <c r="U9" s="135"/>
      <c r="V9" s="135"/>
      <c r="W9" s="135"/>
      <c r="X9" s="135"/>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row>
    <row r="10" spans="1:58" x14ac:dyDescent="0.3">
      <c r="A10" s="78"/>
      <c r="B10" s="78"/>
      <c r="C10" s="74" t="s">
        <v>40</v>
      </c>
      <c r="D10" s="77">
        <f>'School DATA'!E13</f>
        <v>52</v>
      </c>
      <c r="E10" s="68"/>
      <c r="G10" s="143" t="s">
        <v>66</v>
      </c>
      <c r="H10" s="141" t="s">
        <v>5</v>
      </c>
      <c r="I10" s="141">
        <v>2</v>
      </c>
    </row>
    <row r="11" spans="1:58" ht="13.5" thickBot="1" x14ac:dyDescent="0.35">
      <c r="A11" s="78"/>
      <c r="B11" s="78"/>
      <c r="C11" s="79"/>
      <c r="D11" s="80"/>
      <c r="E11" s="81"/>
      <c r="G11" s="147"/>
      <c r="H11" s="141"/>
      <c r="I11" s="141" t="s">
        <v>298</v>
      </c>
      <c r="M11" s="132" t="s">
        <v>132</v>
      </c>
      <c r="N11" s="132"/>
    </row>
    <row r="12" spans="1:58" ht="18.5" thickBot="1" x14ac:dyDescent="0.45">
      <c r="A12" s="297" t="s">
        <v>335</v>
      </c>
      <c r="B12" s="298"/>
      <c r="C12" s="438" t="s">
        <v>325</v>
      </c>
      <c r="D12" s="438"/>
      <c r="E12" s="299"/>
      <c r="F12" s="148"/>
      <c r="G12" s="143" t="s">
        <v>265</v>
      </c>
      <c r="H12" s="149" t="s">
        <v>47</v>
      </c>
      <c r="I12" s="149" t="s">
        <v>90</v>
      </c>
      <c r="L12" s="149" t="s">
        <v>173</v>
      </c>
      <c r="M12" s="149" t="s">
        <v>95</v>
      </c>
      <c r="N12" s="132" t="s">
        <v>133</v>
      </c>
    </row>
    <row r="13" spans="1:58" x14ac:dyDescent="0.3">
      <c r="A13" s="300"/>
      <c r="B13" s="301"/>
      <c r="C13" s="302"/>
      <c r="D13" s="303"/>
      <c r="E13" s="304"/>
      <c r="F13" s="148"/>
      <c r="G13" s="143" t="s">
        <v>266</v>
      </c>
      <c r="H13" s="141" t="s">
        <v>91</v>
      </c>
      <c r="I13" s="141" t="s">
        <v>92</v>
      </c>
      <c r="J13" s="150">
        <f>'School DATA'!D7</f>
        <v>45929</v>
      </c>
      <c r="L13" s="151">
        <f>COUNT(M13:M19)</f>
        <v>3</v>
      </c>
      <c r="M13" s="152">
        <f>IF(('School DATA'!D18&gt;10/10/2010),'School DATA'!D18,"")</f>
        <v>45929</v>
      </c>
      <c r="N13" s="153">
        <f>IF((ISNUMBER(M13)),(E91/L13),"")</f>
        <v>0</v>
      </c>
    </row>
    <row r="14" spans="1:58" ht="18" x14ac:dyDescent="0.4">
      <c r="A14" s="305" t="s">
        <v>76</v>
      </c>
      <c r="B14" s="306"/>
      <c r="C14" s="454"/>
      <c r="D14" s="454"/>
      <c r="E14" s="455"/>
      <c r="F14" s="154"/>
      <c r="H14" s="141"/>
      <c r="I14" s="141" t="s">
        <v>93</v>
      </c>
      <c r="J14" s="150">
        <f>'School DATA'!D11</f>
        <v>46234</v>
      </c>
      <c r="L14" s="141" t="s">
        <v>129</v>
      </c>
      <c r="M14" s="152">
        <f>IF(('School DATA'!D19&gt;10/10/2010),'School DATA'!D19,"")</f>
        <v>46041</v>
      </c>
      <c r="N14" s="153">
        <f>IF((ISNUMBER(M14)),(E91/L13),"")</f>
        <v>0</v>
      </c>
    </row>
    <row r="15" spans="1:58" ht="18" x14ac:dyDescent="0.4">
      <c r="A15" s="308" t="s">
        <v>296</v>
      </c>
      <c r="B15" s="308"/>
      <c r="C15" s="454"/>
      <c r="D15" s="454"/>
      <c r="E15" s="455"/>
      <c r="F15" s="154"/>
      <c r="H15" s="141" t="s">
        <v>94</v>
      </c>
      <c r="I15" s="141" t="s">
        <v>92</v>
      </c>
      <c r="J15" s="150">
        <f>'School DATA'!D7</f>
        <v>45929</v>
      </c>
      <c r="L15" s="141" t="s">
        <v>130</v>
      </c>
      <c r="M15" s="152">
        <f>IF(('School DATA'!D20&gt;10/10/2010),'School DATA'!D20,"")</f>
        <v>46147</v>
      </c>
      <c r="N15" s="153">
        <f>IF((ISNUMBER(M15)),(E91/L13),"")</f>
        <v>0</v>
      </c>
    </row>
    <row r="16" spans="1:58" ht="18" x14ac:dyDescent="0.4">
      <c r="A16" s="305" t="s">
        <v>68</v>
      </c>
      <c r="B16" s="306"/>
      <c r="C16" s="445"/>
      <c r="D16" s="445"/>
      <c r="E16" s="446"/>
      <c r="F16" s="154"/>
      <c r="H16" s="141"/>
      <c r="I16" s="141" t="s">
        <v>93</v>
      </c>
      <c r="J16" s="150">
        <f>'School DATA'!E7</f>
        <v>46292</v>
      </c>
      <c r="L16" s="141" t="s">
        <v>131</v>
      </c>
      <c r="M16" s="152" t="str">
        <f>IF(('School DATA'!D21&gt;10/10/2010),'School DATA'!D21,"")</f>
        <v/>
      </c>
      <c r="N16" s="153" t="str">
        <f>IF((ISNUMBER(M16)),(E91/L13),"")</f>
        <v/>
      </c>
      <c r="O16" s="153"/>
    </row>
    <row r="17" spans="1:58" ht="18" x14ac:dyDescent="0.4">
      <c r="A17" s="305" t="s">
        <v>69</v>
      </c>
      <c r="B17" s="306"/>
      <c r="C17" s="445"/>
      <c r="D17" s="445"/>
      <c r="E17" s="446"/>
      <c r="F17" s="154"/>
    </row>
    <row r="18" spans="1:58" ht="18" x14ac:dyDescent="0.4">
      <c r="A18" s="305" t="s">
        <v>70</v>
      </c>
      <c r="B18" s="306"/>
      <c r="C18" s="445"/>
      <c r="D18" s="445"/>
      <c r="E18" s="446"/>
      <c r="F18" s="154"/>
    </row>
    <row r="19" spans="1:58" ht="18" x14ac:dyDescent="0.4">
      <c r="A19" s="305" t="s">
        <v>71</v>
      </c>
      <c r="B19" s="306"/>
      <c r="C19" s="445"/>
      <c r="D19" s="445"/>
      <c r="E19" s="446"/>
      <c r="F19" s="154"/>
    </row>
    <row r="20" spans="1:58" ht="18" x14ac:dyDescent="0.4">
      <c r="A20" s="309" t="s">
        <v>72</v>
      </c>
      <c r="B20" s="309"/>
      <c r="C20" s="445"/>
      <c r="D20" s="445"/>
      <c r="E20" s="446"/>
      <c r="F20" s="154"/>
      <c r="K20" s="149"/>
    </row>
    <row r="21" spans="1:58" ht="18" x14ac:dyDescent="0.4">
      <c r="A21" s="309" t="s">
        <v>73</v>
      </c>
      <c r="B21" s="309"/>
      <c r="C21" s="447"/>
      <c r="D21" s="447"/>
      <c r="E21" s="448"/>
      <c r="F21" s="154"/>
      <c r="H21" s="132" t="s">
        <v>304</v>
      </c>
      <c r="K21" s="132" t="s">
        <v>159</v>
      </c>
    </row>
    <row r="22" spans="1:58" ht="18" x14ac:dyDescent="0.4">
      <c r="A22" s="309" t="s">
        <v>74</v>
      </c>
      <c r="B22" s="309"/>
      <c r="C22" s="449"/>
      <c r="D22" s="450"/>
      <c r="E22" s="451"/>
      <c r="F22" s="154"/>
      <c r="G22" s="155" t="s">
        <v>8</v>
      </c>
      <c r="H22" s="156" t="s">
        <v>42</v>
      </c>
      <c r="I22" s="156" t="s">
        <v>43</v>
      </c>
      <c r="J22" s="157"/>
      <c r="K22" s="157" t="s">
        <v>8</v>
      </c>
      <c r="L22" s="156" t="s">
        <v>42</v>
      </c>
      <c r="M22" s="156" t="s">
        <v>43</v>
      </c>
      <c r="N22" s="156"/>
      <c r="O22" s="157"/>
      <c r="P22" s="157"/>
      <c r="Q22" s="158"/>
    </row>
    <row r="23" spans="1:58" ht="18" x14ac:dyDescent="0.4">
      <c r="A23" s="308" t="s">
        <v>75</v>
      </c>
      <c r="B23" s="308"/>
      <c r="C23" s="445"/>
      <c r="D23" s="445"/>
      <c r="E23" s="446"/>
      <c r="F23" s="154"/>
      <c r="G23" s="159">
        <f>IF(D27="Y",0,K23)</f>
        <v>0</v>
      </c>
      <c r="H23" s="157"/>
      <c r="I23" s="160">
        <f>IF((D27="N"),M23,0)</f>
        <v>20500</v>
      </c>
      <c r="J23" s="143" t="s">
        <v>9</v>
      </c>
      <c r="K23" s="143">
        <v>0</v>
      </c>
      <c r="L23" s="157">
        <v>0</v>
      </c>
      <c r="M23" s="143">
        <v>20500</v>
      </c>
      <c r="O23" s="157"/>
      <c r="P23" s="157"/>
      <c r="Q23" s="158"/>
    </row>
    <row r="24" spans="1:58" s="163" customFormat="1" ht="18" x14ac:dyDescent="0.4">
      <c r="A24" s="305" t="s">
        <v>7</v>
      </c>
      <c r="B24" s="306"/>
      <c r="C24" s="452"/>
      <c r="D24" s="452"/>
      <c r="E24" s="453"/>
      <c r="F24" s="154"/>
      <c r="G24" s="159">
        <f>IF((AND(D27="Y",D28="N",D30=1)),K24,0)</f>
        <v>0</v>
      </c>
      <c r="H24" s="143">
        <f>IF((AND(D27="Y",D31="D",D30=1)),L24,0)</f>
        <v>0</v>
      </c>
      <c r="I24" s="143">
        <f>IF((AND(D27="Y",D31="I",D30=1)),M24,0)</f>
        <v>0</v>
      </c>
      <c r="J24" s="143" t="s">
        <v>10</v>
      </c>
      <c r="K24" s="143">
        <v>3500</v>
      </c>
      <c r="L24" s="143">
        <v>2000</v>
      </c>
      <c r="M24" s="143">
        <v>6000</v>
      </c>
      <c r="N24" s="143"/>
      <c r="O24" s="157"/>
      <c r="P24" s="157"/>
      <c r="Q24" s="158"/>
      <c r="R24" s="161"/>
      <c r="S24" s="161"/>
      <c r="T24" s="161"/>
      <c r="U24" s="161"/>
      <c r="V24" s="161"/>
      <c r="W24" s="161"/>
      <c r="X24" s="161"/>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row>
    <row r="25" spans="1:58" s="163" customFormat="1" ht="18.5" thickBot="1" x14ac:dyDescent="0.45">
      <c r="A25" s="305" t="s">
        <v>307</v>
      </c>
      <c r="B25" s="306"/>
      <c r="C25" s="452"/>
      <c r="D25" s="452"/>
      <c r="E25" s="453"/>
      <c r="F25" s="148"/>
      <c r="G25" s="159">
        <f>IF((AND(D27="Y",D28="N",D30=2)),K25,0)</f>
        <v>0</v>
      </c>
      <c r="H25" s="143">
        <f>IF((AND(D27="Y",D31="D",D30=2)),L25,0)</f>
        <v>0</v>
      </c>
      <c r="I25" s="143">
        <f>IF((AND(D27="Y",D31="I",D30=2)),M25,0)</f>
        <v>0</v>
      </c>
      <c r="J25" s="143" t="s">
        <v>11</v>
      </c>
      <c r="K25" s="143">
        <v>4500</v>
      </c>
      <c r="L25" s="143">
        <v>2000</v>
      </c>
      <c r="M25" s="143">
        <v>6000</v>
      </c>
      <c r="N25" s="143"/>
      <c r="O25" s="143"/>
      <c r="P25" s="143"/>
      <c r="Q25" s="144"/>
      <c r="R25" s="161"/>
      <c r="S25" s="161"/>
      <c r="T25" s="161"/>
      <c r="U25" s="161"/>
      <c r="V25" s="161"/>
      <c r="W25" s="161"/>
      <c r="X25" s="161"/>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row>
    <row r="26" spans="1:58" s="163" customFormat="1" ht="18.5" thickBot="1" x14ac:dyDescent="0.45">
      <c r="A26" s="330" t="s">
        <v>337</v>
      </c>
      <c r="B26" s="331"/>
      <c r="C26" s="332"/>
      <c r="D26" s="333"/>
      <c r="E26" s="296"/>
      <c r="F26" s="148"/>
      <c r="G26" s="159">
        <f>IF((AND(D27="Y",D28="N",D30&gt;2)),K26,0)</f>
        <v>0</v>
      </c>
      <c r="H26" s="143">
        <f>IF((AND(D27="Y",D31="D",D30&gt;2)),L26,0)</f>
        <v>0</v>
      </c>
      <c r="I26" s="143">
        <f>IF((AND(D27="Y",D31="I",D30&gt;2)),M26,0)</f>
        <v>0</v>
      </c>
      <c r="J26" s="143" t="s">
        <v>22</v>
      </c>
      <c r="K26" s="143">
        <v>5500</v>
      </c>
      <c r="L26" s="143">
        <v>2000</v>
      </c>
      <c r="M26" s="143">
        <v>7000</v>
      </c>
      <c r="N26" s="143"/>
      <c r="O26" s="143"/>
      <c r="P26" s="143"/>
      <c r="Q26" s="144"/>
      <c r="R26" s="161"/>
      <c r="S26" s="161"/>
      <c r="T26" s="161"/>
      <c r="U26" s="161"/>
      <c r="V26" s="161"/>
      <c r="W26" s="161"/>
      <c r="X26" s="161"/>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row>
    <row r="27" spans="1:58" ht="31" x14ac:dyDescent="0.35">
      <c r="A27" s="334" t="s">
        <v>338</v>
      </c>
      <c r="B27" s="310"/>
      <c r="C27" s="314" t="s">
        <v>336</v>
      </c>
      <c r="D27" s="307" t="s">
        <v>6</v>
      </c>
      <c r="E27" s="315"/>
      <c r="F27" s="148"/>
      <c r="G27" s="159">
        <f>IF((AND(D27="Y", D28="Y", D29="Y")),K27,0)</f>
        <v>0</v>
      </c>
      <c r="H27" s="143">
        <f>IF((AND(D28="Y",D32="D",D31&gt;2)),L27,0)</f>
        <v>0</v>
      </c>
      <c r="I27" s="160">
        <f>IF((AND(D27="Y", D28="Y", D29="Y")),M27,0)</f>
        <v>0</v>
      </c>
      <c r="J27" s="143" t="s">
        <v>12</v>
      </c>
      <c r="K27" s="143">
        <f>K23</f>
        <v>0</v>
      </c>
      <c r="L27" s="143">
        <f>L23</f>
        <v>0</v>
      </c>
      <c r="M27" s="143">
        <f>M23</f>
        <v>20500</v>
      </c>
    </row>
    <row r="28" spans="1:58" ht="15.5" x14ac:dyDescent="0.35">
      <c r="A28" s="300"/>
      <c r="B28" s="301"/>
      <c r="C28" s="316" t="str">
        <f>IF(D27="N", "Do not adjust this line", "Are you taking a profesional course but at undergraduate level? Only answer Y or N")</f>
        <v>Do not adjust this line</v>
      </c>
      <c r="D28" s="307" t="s">
        <v>60</v>
      </c>
      <c r="E28" s="315"/>
      <c r="F28" s="148"/>
      <c r="G28" s="159">
        <f>MAX(G23:G27)</f>
        <v>0</v>
      </c>
      <c r="H28" s="160"/>
      <c r="I28" s="160">
        <f>MAX(H23:I27)</f>
        <v>20500</v>
      </c>
      <c r="J28" s="132" t="s">
        <v>35</v>
      </c>
      <c r="K28" s="132"/>
      <c r="L28" s="132" t="s">
        <v>182</v>
      </c>
    </row>
    <row r="29" spans="1:58" ht="15.5" x14ac:dyDescent="0.35">
      <c r="A29" s="300"/>
      <c r="B29" s="301"/>
      <c r="C29" s="317" t="str">
        <f>IF((AND( D27="Y", D28="Y")), "Do you already have another undergraduate degree - answer Y or N", "Do not adjust this line" )</f>
        <v>Do not adjust this line</v>
      </c>
      <c r="D29" s="307" t="s">
        <v>60</v>
      </c>
      <c r="E29" s="315"/>
      <c r="F29" s="148"/>
      <c r="G29" s="164"/>
      <c r="K29" s="132"/>
    </row>
    <row r="30" spans="1:58" ht="15.5" x14ac:dyDescent="0.35">
      <c r="A30" s="300"/>
      <c r="B30" s="301"/>
      <c r="C30" s="415" t="s">
        <v>308</v>
      </c>
      <c r="D30" s="318">
        <v>1</v>
      </c>
      <c r="E30" s="315"/>
      <c r="F30" s="148"/>
      <c r="G30" s="164"/>
      <c r="H30" s="132" t="s">
        <v>160</v>
      </c>
      <c r="L30" s="165" t="s">
        <v>64</v>
      </c>
    </row>
    <row r="31" spans="1:58" ht="15.5" x14ac:dyDescent="0.35">
      <c r="A31" s="300"/>
      <c r="B31" s="301"/>
      <c r="C31" s="418" t="s">
        <v>372</v>
      </c>
      <c r="D31" s="307" t="s">
        <v>66</v>
      </c>
      <c r="E31" s="315"/>
      <c r="F31" s="166"/>
      <c r="G31" s="164" t="s">
        <v>41</v>
      </c>
      <c r="H31" s="167" t="s">
        <v>14</v>
      </c>
      <c r="I31" s="167" t="s">
        <v>15</v>
      </c>
      <c r="J31" s="132" t="s">
        <v>13</v>
      </c>
      <c r="K31" s="132"/>
      <c r="L31" s="143" t="s">
        <v>12</v>
      </c>
    </row>
    <row r="32" spans="1:58" ht="15.5" x14ac:dyDescent="0.35">
      <c r="A32" s="300"/>
      <c r="B32" s="301"/>
      <c r="C32" s="416" t="s">
        <v>371</v>
      </c>
      <c r="D32" s="320">
        <v>0</v>
      </c>
      <c r="E32" s="321"/>
      <c r="F32" s="166"/>
      <c r="G32" s="168">
        <f>D7</f>
        <v>1.3440000000000001</v>
      </c>
      <c r="H32" s="160">
        <f>D33*G32</f>
        <v>0</v>
      </c>
      <c r="I32" s="160">
        <f>E33</f>
        <v>0</v>
      </c>
      <c r="J32" s="132" t="s">
        <v>16</v>
      </c>
    </row>
    <row r="33" spans="1:58" ht="15.5" x14ac:dyDescent="0.35">
      <c r="A33" s="300"/>
      <c r="B33" s="301"/>
      <c r="C33" s="416" t="s">
        <v>260</v>
      </c>
      <c r="D33" s="322">
        <v>0</v>
      </c>
      <c r="E33" s="321"/>
      <c r="F33" s="169"/>
      <c r="G33" s="164">
        <f>G32</f>
        <v>1.3440000000000001</v>
      </c>
      <c r="H33" s="160">
        <f>D34*G33</f>
        <v>0</v>
      </c>
      <c r="I33" s="160">
        <f>E34</f>
        <v>0</v>
      </c>
      <c r="J33" s="143" t="s">
        <v>17</v>
      </c>
    </row>
    <row r="34" spans="1:58" ht="28" x14ac:dyDescent="0.35">
      <c r="A34" s="300"/>
      <c r="B34" s="301"/>
      <c r="C34" s="419" t="s">
        <v>291</v>
      </c>
      <c r="D34" s="322">
        <v>0</v>
      </c>
      <c r="E34" s="323">
        <v>0</v>
      </c>
      <c r="F34" s="169"/>
      <c r="G34" s="164">
        <f>G33</f>
        <v>1.3440000000000001</v>
      </c>
      <c r="H34" s="160">
        <f>D35*G34</f>
        <v>0</v>
      </c>
      <c r="I34" s="160">
        <f>E35</f>
        <v>0</v>
      </c>
      <c r="J34" s="143" t="s">
        <v>18</v>
      </c>
    </row>
    <row r="35" spans="1:58" ht="15.5" x14ac:dyDescent="0.35">
      <c r="A35" s="300"/>
      <c r="B35" s="301"/>
      <c r="C35" s="417" t="s">
        <v>309</v>
      </c>
      <c r="D35" s="322">
        <v>0</v>
      </c>
      <c r="E35" s="324"/>
      <c r="F35" s="169"/>
      <c r="G35" s="164">
        <f>G34</f>
        <v>1.3440000000000001</v>
      </c>
      <c r="H35" s="160">
        <f>D36*G35</f>
        <v>0</v>
      </c>
      <c r="I35" s="160">
        <f>E36</f>
        <v>0</v>
      </c>
      <c r="J35" s="143" t="s">
        <v>45</v>
      </c>
    </row>
    <row r="36" spans="1:58" ht="15.5" x14ac:dyDescent="0.35">
      <c r="A36" s="300"/>
      <c r="B36" s="301"/>
      <c r="C36" s="416" t="s">
        <v>292</v>
      </c>
      <c r="D36" s="322">
        <v>0</v>
      </c>
      <c r="E36" s="324"/>
      <c r="F36" s="169"/>
      <c r="G36" s="164">
        <f>G34</f>
        <v>1.3440000000000001</v>
      </c>
      <c r="H36" s="160">
        <f>D37*G36</f>
        <v>0</v>
      </c>
      <c r="I36" s="160">
        <f>E37</f>
        <v>0</v>
      </c>
      <c r="J36" s="143" t="s">
        <v>46</v>
      </c>
    </row>
    <row r="37" spans="1:58" s="163" customFormat="1" ht="16" thickBot="1" x14ac:dyDescent="0.4">
      <c r="A37" s="301"/>
      <c r="B37" s="301"/>
      <c r="C37" s="416" t="s">
        <v>293</v>
      </c>
      <c r="D37" s="325"/>
      <c r="E37" s="326">
        <v>0</v>
      </c>
      <c r="F37" s="170"/>
      <c r="G37" s="171"/>
      <c r="H37" s="172"/>
      <c r="I37" s="173">
        <f>SUM(H33:I36)</f>
        <v>0</v>
      </c>
      <c r="J37" s="149" t="s">
        <v>44</v>
      </c>
      <c r="K37" s="149"/>
      <c r="L37" s="157"/>
      <c r="M37" s="157"/>
      <c r="N37" s="157"/>
      <c r="O37" s="157"/>
      <c r="P37" s="157"/>
      <c r="Q37" s="158"/>
      <c r="R37" s="161"/>
      <c r="S37" s="161"/>
      <c r="T37" s="161"/>
      <c r="U37" s="161"/>
      <c r="V37" s="161"/>
      <c r="W37" s="161"/>
      <c r="X37" s="161"/>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row>
    <row r="38" spans="1:58" ht="14.25" customHeight="1" thickBot="1" x14ac:dyDescent="0.4">
      <c r="A38" s="306"/>
      <c r="B38" s="306"/>
      <c r="C38" s="311" t="s">
        <v>267</v>
      </c>
      <c r="D38" s="312" t="s">
        <v>266</v>
      </c>
      <c r="E38" s="313"/>
      <c r="F38" s="174"/>
      <c r="G38" s="164"/>
      <c r="I38" s="160"/>
    </row>
    <row r="39" spans="1:58" ht="16" thickBot="1" x14ac:dyDescent="0.4">
      <c r="A39" s="58"/>
      <c r="B39" s="58"/>
      <c r="C39" s="327"/>
      <c r="D39" s="328"/>
      <c r="E39" s="329"/>
      <c r="F39" s="175"/>
      <c r="G39" s="164"/>
      <c r="H39" s="132" t="s">
        <v>161</v>
      </c>
    </row>
    <row r="40" spans="1:58" ht="18.5" thickBot="1" x14ac:dyDescent="0.45">
      <c r="A40" s="335" t="s">
        <v>339</v>
      </c>
      <c r="B40" s="347" t="s">
        <v>346</v>
      </c>
      <c r="C40" s="336"/>
      <c r="D40" s="337"/>
      <c r="E40" s="338"/>
      <c r="F40" s="166"/>
      <c r="G40" s="164" t="s">
        <v>19</v>
      </c>
      <c r="H40" s="160" t="s">
        <v>33</v>
      </c>
      <c r="I40" s="160" t="s">
        <v>34</v>
      </c>
      <c r="J40" s="143" t="s">
        <v>32</v>
      </c>
    </row>
    <row r="41" spans="1:58" ht="15.5" x14ac:dyDescent="0.35">
      <c r="A41" s="56"/>
      <c r="B41" s="57"/>
      <c r="C41" s="339"/>
      <c r="D41" s="348" t="s">
        <v>262</v>
      </c>
      <c r="E41" s="349" t="s">
        <v>79</v>
      </c>
      <c r="F41" s="166"/>
      <c r="G41" s="164">
        <f>D9</f>
        <v>44</v>
      </c>
      <c r="H41" s="160">
        <f>E42*G32*G41</f>
        <v>0</v>
      </c>
      <c r="I41" s="160">
        <f>J41*G32*E42</f>
        <v>0</v>
      </c>
      <c r="J41" s="176">
        <f>D10</f>
        <v>52</v>
      </c>
      <c r="K41" s="176"/>
    </row>
    <row r="42" spans="1:58" ht="15.5" x14ac:dyDescent="0.35">
      <c r="A42" s="56"/>
      <c r="B42" s="57"/>
      <c r="C42" s="339" t="s">
        <v>365</v>
      </c>
      <c r="D42" s="345">
        <f>'School DATA'!I11</f>
        <v>500</v>
      </c>
      <c r="E42" s="341">
        <v>0</v>
      </c>
      <c r="F42" s="166"/>
      <c r="G42" s="164">
        <f>D9</f>
        <v>44</v>
      </c>
      <c r="H42" s="160">
        <f>E43*G33*G42</f>
        <v>0</v>
      </c>
      <c r="I42" s="160">
        <f>J42*G33*E43</f>
        <v>0</v>
      </c>
      <c r="J42" s="176">
        <f>J41</f>
        <v>52</v>
      </c>
      <c r="K42" s="176"/>
    </row>
    <row r="43" spans="1:58" ht="15.5" x14ac:dyDescent="0.35">
      <c r="A43" s="56"/>
      <c r="B43" s="57"/>
      <c r="C43" s="339" t="s">
        <v>366</v>
      </c>
      <c r="D43" s="345">
        <f>'School DATA'!H12+'School DATA'!H13</f>
        <v>150</v>
      </c>
      <c r="E43" s="341">
        <v>0</v>
      </c>
      <c r="F43" s="166"/>
      <c r="G43" s="164">
        <f>G42</f>
        <v>44</v>
      </c>
      <c r="H43" s="160">
        <f>E44*G32*G43</f>
        <v>0</v>
      </c>
      <c r="I43" s="160">
        <f>J43*G34*E44</f>
        <v>0</v>
      </c>
      <c r="J43" s="176">
        <f>J42</f>
        <v>52</v>
      </c>
      <c r="K43" s="176"/>
    </row>
    <row r="44" spans="1:58" ht="15.5" x14ac:dyDescent="0.35">
      <c r="A44" s="56"/>
      <c r="B44" s="57"/>
      <c r="C44" s="339" t="s">
        <v>4</v>
      </c>
      <c r="D44" s="345">
        <f>'School DATA'!H14</f>
        <v>25</v>
      </c>
      <c r="E44" s="341">
        <v>0</v>
      </c>
      <c r="F44" s="166"/>
      <c r="G44" s="164">
        <f>G43</f>
        <v>44</v>
      </c>
      <c r="H44" s="160">
        <f>E45*G33*G44</f>
        <v>0</v>
      </c>
      <c r="I44" s="160">
        <f>J44*G35*E45</f>
        <v>0</v>
      </c>
      <c r="J44" s="176">
        <f>J43</f>
        <v>52</v>
      </c>
      <c r="K44" s="176"/>
    </row>
    <row r="45" spans="1:58" ht="15.5" x14ac:dyDescent="0.35">
      <c r="A45" s="56"/>
      <c r="B45" s="57"/>
      <c r="C45" s="339" t="s">
        <v>245</v>
      </c>
      <c r="D45" s="345">
        <f>'School DATA'!H15</f>
        <v>55</v>
      </c>
      <c r="E45" s="341">
        <v>0</v>
      </c>
      <c r="F45" s="166"/>
      <c r="G45" s="164">
        <f>G44</f>
        <v>44</v>
      </c>
      <c r="H45" s="160">
        <f>E46*G34*G45</f>
        <v>0</v>
      </c>
      <c r="I45" s="160">
        <f>J45*G36*E46</f>
        <v>0</v>
      </c>
      <c r="J45" s="176">
        <f>J44</f>
        <v>52</v>
      </c>
      <c r="K45" s="176"/>
    </row>
    <row r="46" spans="1:58" ht="16" thickBot="1" x14ac:dyDescent="0.4">
      <c r="A46" s="56"/>
      <c r="B46" s="57"/>
      <c r="C46" s="339" t="s">
        <v>1</v>
      </c>
      <c r="D46" s="345">
        <f>'School DATA'!H16</f>
        <v>70</v>
      </c>
      <c r="E46" s="341">
        <v>0</v>
      </c>
      <c r="F46" s="166"/>
      <c r="G46" s="164"/>
      <c r="H46" s="160"/>
      <c r="I46" s="160"/>
    </row>
    <row r="47" spans="1:58" ht="16" thickBot="1" x14ac:dyDescent="0.4">
      <c r="A47" s="57"/>
      <c r="B47" s="57"/>
      <c r="C47" s="319"/>
      <c r="D47" s="400"/>
      <c r="E47" s="401"/>
      <c r="F47" s="174"/>
      <c r="H47" s="160"/>
      <c r="I47" s="160"/>
    </row>
    <row r="48" spans="1:58" ht="21.5" thickBot="1" x14ac:dyDescent="0.55000000000000004">
      <c r="A48" s="249"/>
      <c r="B48" s="249"/>
      <c r="C48" s="124"/>
      <c r="D48" s="60"/>
      <c r="E48" s="59"/>
      <c r="F48" s="175"/>
      <c r="H48" s="132" t="s">
        <v>162</v>
      </c>
      <c r="I48" s="160"/>
      <c r="K48" s="127" t="s">
        <v>87</v>
      </c>
    </row>
    <row r="49" spans="1:58" ht="21" x14ac:dyDescent="0.5">
      <c r="A49" s="375" t="s">
        <v>340</v>
      </c>
      <c r="B49" s="376" t="s">
        <v>344</v>
      </c>
      <c r="C49" s="377"/>
      <c r="D49" s="443" t="s">
        <v>263</v>
      </c>
      <c r="E49" s="441" t="str">
        <f>E41</f>
        <v>Your Request</v>
      </c>
      <c r="F49" s="175"/>
      <c r="H49" s="132"/>
      <c r="I49" s="160"/>
      <c r="K49" s="127"/>
    </row>
    <row r="50" spans="1:58" ht="18.5" thickBot="1" x14ac:dyDescent="0.45">
      <c r="A50" s="378"/>
      <c r="B50" s="379" t="s">
        <v>345</v>
      </c>
      <c r="C50" s="380"/>
      <c r="D50" s="444"/>
      <c r="E50" s="442"/>
      <c r="F50" s="177"/>
      <c r="G50" s="178">
        <f>D7</f>
        <v>1.3440000000000001</v>
      </c>
      <c r="H50" s="160">
        <f t="shared" ref="H50:H56" si="0">E51*G50</f>
        <v>0</v>
      </c>
      <c r="I50" s="160"/>
      <c r="L50" s="143" t="s">
        <v>89</v>
      </c>
      <c r="M50" s="143" t="s">
        <v>146</v>
      </c>
      <c r="N50" s="143" t="s">
        <v>154</v>
      </c>
      <c r="O50" s="143" t="s">
        <v>148</v>
      </c>
    </row>
    <row r="51" spans="1:58" ht="15.5" x14ac:dyDescent="0.35">
      <c r="A51" s="250"/>
      <c r="B51" s="249"/>
      <c r="C51" s="339" t="s">
        <v>2</v>
      </c>
      <c r="D51" s="340">
        <f>'School DATA'!H19*2</f>
        <v>2400</v>
      </c>
      <c r="E51" s="341">
        <v>0</v>
      </c>
      <c r="G51" s="143">
        <f t="shared" ref="G51:G56" si="1">G50</f>
        <v>1.3440000000000001</v>
      </c>
      <c r="H51" s="160">
        <f t="shared" si="0"/>
        <v>0</v>
      </c>
      <c r="I51" s="160"/>
      <c r="K51" s="143" t="s">
        <v>88</v>
      </c>
      <c r="M51" s="143" t="s">
        <v>147</v>
      </c>
      <c r="N51" s="143" t="s">
        <v>41</v>
      </c>
      <c r="O51" s="143" t="s">
        <v>149</v>
      </c>
    </row>
    <row r="52" spans="1:58" ht="15.5" x14ac:dyDescent="0.35">
      <c r="A52" s="250"/>
      <c r="B52" s="249"/>
      <c r="C52" s="339" t="s">
        <v>140</v>
      </c>
      <c r="D52" s="340">
        <f>'School DATA'!H20</f>
        <v>500</v>
      </c>
      <c r="E52" s="341">
        <v>0</v>
      </c>
      <c r="F52" s="166"/>
      <c r="G52" s="143">
        <f t="shared" si="1"/>
        <v>1.3440000000000001</v>
      </c>
      <c r="H52" s="160">
        <f t="shared" si="0"/>
        <v>0</v>
      </c>
      <c r="I52" s="160"/>
      <c r="K52" s="143" t="s">
        <v>170</v>
      </c>
      <c r="L52" s="179">
        <f>'School DATA'!D38</f>
        <v>1.0569999999999999</v>
      </c>
      <c r="M52" s="179">
        <f>'School DATA'!E38</f>
        <v>0</v>
      </c>
      <c r="N52" s="179">
        <f>L52-M52</f>
        <v>1.0569999999999999</v>
      </c>
      <c r="O52" s="180">
        <f>N52*0.01</f>
        <v>1.057E-2</v>
      </c>
    </row>
    <row r="53" spans="1:58" ht="15.5" x14ac:dyDescent="0.35">
      <c r="A53" s="250"/>
      <c r="B53" s="249"/>
      <c r="C53" s="339" t="s">
        <v>247</v>
      </c>
      <c r="D53" s="340">
        <f>'School DATA'!H21</f>
        <v>1200</v>
      </c>
      <c r="E53" s="341">
        <v>0</v>
      </c>
      <c r="F53" s="166"/>
      <c r="G53" s="143">
        <f t="shared" si="1"/>
        <v>1.3440000000000001</v>
      </c>
      <c r="H53" s="160">
        <f t="shared" si="0"/>
        <v>0</v>
      </c>
      <c r="I53" s="160"/>
      <c r="K53" s="143" t="s">
        <v>171</v>
      </c>
      <c r="L53" s="179">
        <f>'School DATA'!D39</f>
        <v>1.0569999999999999</v>
      </c>
      <c r="M53" s="179">
        <f>'School DATA'!E39</f>
        <v>0</v>
      </c>
      <c r="N53" s="179">
        <f>L53-M53</f>
        <v>1.0569999999999999</v>
      </c>
      <c r="O53" s="180">
        <f>N53*0.01</f>
        <v>1.057E-2</v>
      </c>
    </row>
    <row r="54" spans="1:58" ht="15.5" x14ac:dyDescent="0.35">
      <c r="A54" s="250"/>
      <c r="B54" s="249"/>
      <c r="C54" s="339" t="str">
        <f>'School DATA'!G22</f>
        <v>Visa £322 and NHS charge £150.00</v>
      </c>
      <c r="D54" s="340">
        <f>SUM('School DATA'!H22)</f>
        <v>472</v>
      </c>
      <c r="E54" s="341">
        <v>0</v>
      </c>
      <c r="F54" s="166"/>
      <c r="G54" s="143">
        <f t="shared" si="1"/>
        <v>1.3440000000000001</v>
      </c>
      <c r="H54" s="160">
        <f t="shared" si="0"/>
        <v>0</v>
      </c>
      <c r="I54" s="160"/>
      <c r="K54" s="143" t="s">
        <v>172</v>
      </c>
      <c r="L54" s="179">
        <f>'School DATA'!D40</f>
        <v>4.2279999999999998</v>
      </c>
      <c r="M54" s="179">
        <f>'School DATA'!E40</f>
        <v>0</v>
      </c>
      <c r="N54" s="179">
        <f>L54-M54</f>
        <v>4.2279999999999998</v>
      </c>
      <c r="O54" s="180">
        <f>N54*0.01</f>
        <v>4.2279999999999998E-2</v>
      </c>
    </row>
    <row r="55" spans="1:58" ht="15.5" x14ac:dyDescent="0.35">
      <c r="A55" s="250"/>
      <c r="B55" s="249"/>
      <c r="C55" s="339" t="str">
        <f>'School DATA'!G23</f>
        <v>Add any other essential costs - write here - only in £</v>
      </c>
      <c r="D55" s="340">
        <f>'School DATA'!H23</f>
        <v>0</v>
      </c>
      <c r="E55" s="341">
        <f>D55</f>
        <v>0</v>
      </c>
      <c r="F55" s="166"/>
      <c r="G55" s="143">
        <f t="shared" si="1"/>
        <v>1.3440000000000001</v>
      </c>
      <c r="H55" s="160">
        <f t="shared" si="0"/>
        <v>0</v>
      </c>
      <c r="I55" s="160"/>
    </row>
    <row r="56" spans="1:58" ht="15.5" x14ac:dyDescent="0.35">
      <c r="A56" s="250"/>
      <c r="B56" s="249"/>
      <c r="C56" s="339" t="str">
        <f>'School DATA'!G24</f>
        <v>Add any other essential costs - write here - only in £</v>
      </c>
      <c r="D56" s="340">
        <f>'School DATA'!H24</f>
        <v>0</v>
      </c>
      <c r="E56" s="341">
        <f>D56</f>
        <v>0</v>
      </c>
      <c r="F56" s="166"/>
      <c r="G56" s="143">
        <f t="shared" si="1"/>
        <v>1.3440000000000001</v>
      </c>
      <c r="H56" s="160">
        <f t="shared" si="0"/>
        <v>0</v>
      </c>
    </row>
    <row r="57" spans="1:58" ht="15.5" x14ac:dyDescent="0.35">
      <c r="A57" s="249"/>
      <c r="B57" s="249"/>
      <c r="C57" s="339" t="str">
        <f>'School DATA'!G25</f>
        <v>Add any other essential costs - write here - only in £</v>
      </c>
      <c r="D57" s="340">
        <f>'School DATA'!H25</f>
        <v>0</v>
      </c>
      <c r="E57" s="341">
        <f>D57</f>
        <v>0</v>
      </c>
      <c r="F57" s="174"/>
    </row>
    <row r="58" spans="1:58" ht="21.5" thickBot="1" x14ac:dyDescent="0.55000000000000004">
      <c r="A58" s="251"/>
      <c r="B58" s="78"/>
      <c r="C58" s="342"/>
      <c r="D58" s="343"/>
      <c r="E58" s="344"/>
      <c r="F58" s="181"/>
      <c r="G58" s="182"/>
      <c r="H58" s="132" t="s">
        <v>163</v>
      </c>
      <c r="J58" s="127"/>
      <c r="K58" s="165" t="s">
        <v>53</v>
      </c>
      <c r="L58" s="165" t="s">
        <v>54</v>
      </c>
      <c r="M58" s="132" t="s">
        <v>174</v>
      </c>
      <c r="N58" s="132" t="s">
        <v>169</v>
      </c>
    </row>
    <row r="59" spans="1:58" ht="21.5" thickBot="1" x14ac:dyDescent="0.55000000000000004">
      <c r="A59" s="335" t="s">
        <v>341</v>
      </c>
      <c r="B59" s="439" t="s">
        <v>264</v>
      </c>
      <c r="C59" s="439"/>
      <c r="D59" s="439"/>
      <c r="E59" s="440"/>
      <c r="F59" s="183"/>
      <c r="G59" s="184" t="s">
        <v>167</v>
      </c>
      <c r="H59" s="185" t="s">
        <v>26</v>
      </c>
      <c r="J59" s="143" t="s">
        <v>48</v>
      </c>
      <c r="K59" s="186">
        <f>H69</f>
        <v>0</v>
      </c>
      <c r="L59" s="186"/>
    </row>
    <row r="60" spans="1:58" s="130" customFormat="1" ht="21" x14ac:dyDescent="0.5">
      <c r="A60" s="61"/>
      <c r="B60" s="61"/>
      <c r="C60" s="252" t="str">
        <f>G59</f>
        <v>Requested Cost of Attendance (Values rounded)</v>
      </c>
      <c r="D60" s="253" t="str">
        <f>H59</f>
        <v>$</v>
      </c>
      <c r="E60" s="254"/>
      <c r="F60" s="187"/>
      <c r="G60" s="188" t="s">
        <v>27</v>
      </c>
      <c r="H60" s="189">
        <f>ROUND(H32,0)</f>
        <v>0</v>
      </c>
      <c r="I60" s="190"/>
      <c r="J60" s="143" t="s">
        <v>49</v>
      </c>
      <c r="K60" s="186">
        <f>-D32</f>
        <v>0</v>
      </c>
      <c r="L60" s="186"/>
      <c r="M60" s="127"/>
      <c r="N60" s="143"/>
      <c r="O60" s="127"/>
      <c r="P60" s="127"/>
      <c r="Q60" s="128"/>
      <c r="R60" s="129"/>
      <c r="S60" s="129"/>
      <c r="T60" s="145"/>
      <c r="U60" s="129"/>
      <c r="V60" s="129"/>
      <c r="W60" s="129"/>
      <c r="X60" s="129"/>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row>
    <row r="61" spans="1:58" ht="15.5" x14ac:dyDescent="0.35">
      <c r="A61" s="78"/>
      <c r="B61" s="78"/>
      <c r="C61" s="255" t="str">
        <f>G60</f>
        <v>Tuition Fees</v>
      </c>
      <c r="D61" s="256">
        <f>H60</f>
        <v>0</v>
      </c>
      <c r="E61" s="257"/>
      <c r="F61" s="187"/>
      <c r="G61" s="188" t="s">
        <v>28</v>
      </c>
      <c r="H61" s="189">
        <f>ROUND((IF(D27="N",I41,H41)),0)</f>
        <v>0</v>
      </c>
      <c r="I61" s="190"/>
      <c r="J61" s="143" t="s">
        <v>52</v>
      </c>
      <c r="K61" s="186">
        <f>IF((SUM(K59:K60)&gt;0),(SUM(K59:K60)),0)</f>
        <v>0</v>
      </c>
      <c r="L61" s="186"/>
      <c r="N61" s="186">
        <f>IF((K61&lt;K63),(K63-K61),0)</f>
        <v>0</v>
      </c>
    </row>
    <row r="62" spans="1:58" ht="15.5" x14ac:dyDescent="0.35">
      <c r="A62" s="78"/>
      <c r="B62" s="78"/>
      <c r="C62" s="255" t="str">
        <f t="shared" ref="C62:C80" si="2">G61</f>
        <v>Room</v>
      </c>
      <c r="D62" s="256">
        <f t="shared" ref="D62:D70" si="3">H61</f>
        <v>0</v>
      </c>
      <c r="E62" s="257"/>
      <c r="F62" s="187"/>
      <c r="G62" s="188" t="s">
        <v>29</v>
      </c>
      <c r="H62" s="189">
        <f>ROUND((IF(D27="N",I42,H42)),0)</f>
        <v>0</v>
      </c>
      <c r="I62" s="190"/>
      <c r="J62" s="143" t="s">
        <v>168</v>
      </c>
      <c r="K62" s="186">
        <f>G28</f>
        <v>0</v>
      </c>
      <c r="L62" s="186"/>
    </row>
    <row r="63" spans="1:58" ht="15.5" x14ac:dyDescent="0.35">
      <c r="A63" s="78"/>
      <c r="B63" s="78"/>
      <c r="C63" s="255" t="str">
        <f t="shared" si="2"/>
        <v>Board</v>
      </c>
      <c r="D63" s="256">
        <f t="shared" si="3"/>
        <v>0</v>
      </c>
      <c r="E63" s="257"/>
      <c r="F63" s="187"/>
      <c r="G63" s="188" t="s">
        <v>30</v>
      </c>
      <c r="H63" s="189">
        <f>ROUND((IF(D27="N",I43,H43)),0)</f>
        <v>0</v>
      </c>
      <c r="I63" s="190"/>
      <c r="J63" s="132" t="s">
        <v>50</v>
      </c>
      <c r="K63" s="191">
        <f>IF((((K61/(100-N52))*100)&lt;K62),((K61/(100-N52))*100),K62)</f>
        <v>0</v>
      </c>
      <c r="L63" s="186"/>
      <c r="M63" s="143">
        <f>IF((N61&gt;0),0,(K63*O52))</f>
        <v>0</v>
      </c>
      <c r="P63" s="186"/>
    </row>
    <row r="64" spans="1:58" ht="15.5" x14ac:dyDescent="0.35">
      <c r="A64" s="78"/>
      <c r="B64" s="78"/>
      <c r="C64" s="255" t="str">
        <f t="shared" si="2"/>
        <v>Books</v>
      </c>
      <c r="D64" s="256">
        <f t="shared" si="3"/>
        <v>0</v>
      </c>
      <c r="E64" s="257"/>
      <c r="F64" s="187"/>
      <c r="G64" s="188" t="s">
        <v>31</v>
      </c>
      <c r="H64" s="189">
        <f>ROUND((IF(D27="N",I44,H44)),0)</f>
        <v>0</v>
      </c>
      <c r="I64" s="190"/>
      <c r="K64" s="186"/>
      <c r="L64" s="186"/>
    </row>
    <row r="65" spans="1:58" ht="15.5" x14ac:dyDescent="0.35">
      <c r="A65" s="78"/>
      <c r="B65" s="78"/>
      <c r="C65" s="255" t="str">
        <f t="shared" si="2"/>
        <v>Travel</v>
      </c>
      <c r="D65" s="256">
        <f t="shared" si="3"/>
        <v>0</v>
      </c>
      <c r="E65" s="257"/>
      <c r="F65" s="187"/>
      <c r="G65" s="188" t="s">
        <v>1</v>
      </c>
      <c r="H65" s="189">
        <f>ROUND((IF(D27="N",I45,H45)),0)</f>
        <v>0</v>
      </c>
      <c r="I65" s="190"/>
      <c r="J65" s="143" t="s">
        <v>56</v>
      </c>
      <c r="K65" s="186"/>
      <c r="L65" s="186">
        <f>IF((N61&gt;0),(K59+N61-K63),(K59-K63+M63))</f>
        <v>0</v>
      </c>
      <c r="N65" s="186">
        <f>IF((((L67-L65)&gt;0)),(L67-L65),0)</f>
        <v>0</v>
      </c>
    </row>
    <row r="66" spans="1:58" ht="16" thickBot="1" x14ac:dyDescent="0.4">
      <c r="A66" s="78"/>
      <c r="B66" s="78"/>
      <c r="C66" s="255" t="str">
        <f t="shared" si="2"/>
        <v>Personal</v>
      </c>
      <c r="D66" s="256">
        <f t="shared" si="3"/>
        <v>0</v>
      </c>
      <c r="E66" s="257"/>
      <c r="F66" s="187"/>
      <c r="G66" s="188" t="s">
        <v>38</v>
      </c>
      <c r="H66" s="192">
        <f>SUM(H50:H56)</f>
        <v>0</v>
      </c>
      <c r="I66" s="190"/>
      <c r="J66" s="143" t="s">
        <v>55</v>
      </c>
      <c r="K66" s="186"/>
      <c r="L66" s="186">
        <f>G28+I28-K63</f>
        <v>20500</v>
      </c>
    </row>
    <row r="67" spans="1:58" ht="15.5" x14ac:dyDescent="0.35">
      <c r="A67" s="78"/>
      <c r="B67" s="78"/>
      <c r="C67" s="258" t="str">
        <f t="shared" si="2"/>
        <v>Other Essential Costs</v>
      </c>
      <c r="D67" s="259">
        <f t="shared" si="3"/>
        <v>0</v>
      </c>
      <c r="E67" s="257"/>
      <c r="F67" s="193"/>
      <c r="G67" s="194" t="s">
        <v>37</v>
      </c>
      <c r="H67" s="195">
        <f>SUM(H60:H66)</f>
        <v>0</v>
      </c>
      <c r="I67" s="196"/>
      <c r="J67" s="132" t="s">
        <v>51</v>
      </c>
      <c r="K67" s="191"/>
      <c r="L67" s="191">
        <f>IF((((L65/(100-N53))*100)&lt;L66),((L65/(100-N53))*100),L66)</f>
        <v>0</v>
      </c>
      <c r="M67" s="143">
        <f>+IF((N65&gt;0),0,(L67*O53))</f>
        <v>0</v>
      </c>
      <c r="Q67" s="134"/>
      <c r="R67" s="135"/>
      <c r="S67" s="135"/>
    </row>
    <row r="68" spans="1:58" ht="15.5" x14ac:dyDescent="0.35">
      <c r="A68" s="66"/>
      <c r="B68" s="66"/>
      <c r="C68" s="260" t="str">
        <f t="shared" si="2"/>
        <v>Total Cost of Attendance</v>
      </c>
      <c r="D68" s="261">
        <f t="shared" si="3"/>
        <v>0</v>
      </c>
      <c r="E68" s="262"/>
      <c r="F68" s="187"/>
      <c r="G68" s="188" t="s">
        <v>59</v>
      </c>
      <c r="H68" s="189">
        <f>ROUND((-I37),0)</f>
        <v>0</v>
      </c>
      <c r="I68" s="190"/>
      <c r="K68" s="186"/>
      <c r="L68" s="186"/>
    </row>
    <row r="69" spans="1:58" s="136" customFormat="1" ht="16" thickBot="1" x14ac:dyDescent="0.4">
      <c r="A69" s="78"/>
      <c r="B69" s="78"/>
      <c r="C69" s="255" t="str">
        <f t="shared" si="2"/>
        <v>Adjust for Sponsorship, Awards or other Aid</v>
      </c>
      <c r="D69" s="256">
        <f t="shared" si="3"/>
        <v>0</v>
      </c>
      <c r="E69" s="257"/>
      <c r="F69" s="187"/>
      <c r="G69" s="197" t="s">
        <v>80</v>
      </c>
      <c r="H69" s="198">
        <f>ROUND((SUM(H67:H68)),0)</f>
        <v>0</v>
      </c>
      <c r="I69" s="190"/>
      <c r="J69" s="132" t="s">
        <v>164</v>
      </c>
      <c r="K69" s="186"/>
      <c r="L69" s="186"/>
      <c r="M69" s="132"/>
      <c r="N69" s="165"/>
      <c r="O69" s="132"/>
      <c r="P69" s="132"/>
      <c r="Q69" s="144"/>
      <c r="R69" s="145"/>
      <c r="S69" s="145"/>
      <c r="T69" s="135"/>
      <c r="U69" s="135"/>
      <c r="V69" s="135"/>
      <c r="W69" s="135"/>
      <c r="X69" s="135"/>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row>
    <row r="70" spans="1:58" ht="16.5" thickTop="1" thickBot="1" x14ac:dyDescent="0.4">
      <c r="A70" s="263" t="str">
        <f>IF((D38="Private Loan"),"Private loan requested","")</f>
        <v/>
      </c>
      <c r="B70" s="78"/>
      <c r="C70" s="264" t="str">
        <f>G69</f>
        <v>Total Requested Cost of Attendance</v>
      </c>
      <c r="D70" s="265">
        <f t="shared" si="3"/>
        <v>0</v>
      </c>
      <c r="E70" s="257"/>
      <c r="F70" s="187"/>
      <c r="G70" s="190"/>
      <c r="H70" s="199"/>
      <c r="I70" s="190"/>
      <c r="J70" s="143" t="s">
        <v>165</v>
      </c>
      <c r="K70" s="186">
        <f>IF((N65=0),(K59-K63-L67+M63+M67),0)</f>
        <v>0</v>
      </c>
      <c r="L70" s="186"/>
      <c r="M70" s="200"/>
      <c r="N70" s="200"/>
      <c r="O70" s="132"/>
    </row>
    <row r="71" spans="1:58" ht="19" thickTop="1" x14ac:dyDescent="0.45">
      <c r="A71" s="78"/>
      <c r="B71" s="78"/>
      <c r="C71" s="266"/>
      <c r="D71" s="256"/>
      <c r="E71" s="257"/>
      <c r="F71" s="187"/>
      <c r="G71" s="190"/>
      <c r="H71" s="199"/>
      <c r="I71" s="190"/>
      <c r="K71" s="186"/>
      <c r="L71" s="186"/>
      <c r="M71" s="200"/>
      <c r="N71" s="200"/>
      <c r="O71" s="132"/>
    </row>
    <row r="72" spans="1:58" ht="18.5" x14ac:dyDescent="0.45">
      <c r="A72" s="78"/>
      <c r="B72" s="78"/>
      <c r="C72" s="266" t="str">
        <f>IF((D38=G12),"Maximum Private (Sallie Mae) loan we will certify is"," ")</f>
        <v xml:space="preserve"> </v>
      </c>
      <c r="D72" s="267" t="str">
        <f>IF((D38=G12),D80," ")</f>
        <v xml:space="preserve"> </v>
      </c>
      <c r="E72" s="257"/>
      <c r="F72" s="187"/>
      <c r="G72" s="190"/>
      <c r="H72" s="199"/>
      <c r="I72" s="190"/>
      <c r="K72" s="186"/>
      <c r="L72" s="186"/>
      <c r="M72" s="200"/>
      <c r="N72" s="200"/>
      <c r="O72" s="132"/>
    </row>
    <row r="73" spans="1:58" ht="21" x14ac:dyDescent="0.5">
      <c r="A73" s="78"/>
      <c r="B73" s="78"/>
      <c r="C73" s="266" t="str">
        <f>IF((D38=G12),"As you said (in cell D38) that you are seeking a Sallie Mae loan there is no need to complete anything below this line."," ")</f>
        <v xml:space="preserve"> </v>
      </c>
      <c r="D73" s="256"/>
      <c r="E73" s="257"/>
      <c r="F73" s="187"/>
      <c r="G73" s="201" t="s">
        <v>297</v>
      </c>
      <c r="H73" s="202" t="s">
        <v>26</v>
      </c>
      <c r="I73" s="190"/>
      <c r="J73" s="143" t="s">
        <v>166</v>
      </c>
      <c r="K73" s="186">
        <f>H5-K63-L67</f>
        <v>115569</v>
      </c>
      <c r="L73" s="186"/>
    </row>
    <row r="74" spans="1:58" ht="21" x14ac:dyDescent="0.5">
      <c r="A74" s="78"/>
      <c r="B74" s="78"/>
      <c r="C74" s="266"/>
      <c r="D74" s="256"/>
      <c r="E74" s="257"/>
      <c r="F74" s="187"/>
      <c r="G74" s="201" t="s">
        <v>311</v>
      </c>
      <c r="H74" s="202"/>
      <c r="I74" s="190"/>
      <c r="K74" s="186"/>
      <c r="L74" s="186"/>
    </row>
    <row r="75" spans="1:58" ht="21" x14ac:dyDescent="0.5">
      <c r="A75" s="78"/>
      <c r="B75" s="78"/>
      <c r="C75" s="268" t="str">
        <f>IF((D38=G12),G74,G73)</f>
        <v>Maximum Govt. Loan you can borrow</v>
      </c>
      <c r="D75" s="256"/>
      <c r="E75" s="257"/>
      <c r="F75" s="187"/>
      <c r="G75" s="188" t="s">
        <v>58</v>
      </c>
      <c r="H75" s="199">
        <f>K63</f>
        <v>0</v>
      </c>
      <c r="I75" s="190"/>
      <c r="J75" s="132" t="s">
        <v>57</v>
      </c>
      <c r="K75" s="191">
        <f>IF((((K70/(100-N54)*100))&lt;K73),((K70/(100-N54)*100)),(((K73+M63+M67)/(100-N54))*100))</f>
        <v>0</v>
      </c>
      <c r="L75" s="186"/>
      <c r="M75" s="203"/>
      <c r="N75" s="203"/>
    </row>
    <row r="76" spans="1:58" ht="15.5" x14ac:dyDescent="0.35">
      <c r="A76" s="78"/>
      <c r="B76" s="78"/>
      <c r="C76" s="255" t="str">
        <f>IF((D27="N"),L28,G75)</f>
        <v>From July 2012 there is no Subsidised Loan for postgraduates</v>
      </c>
      <c r="D76" s="256">
        <f>H75</f>
        <v>0</v>
      </c>
      <c r="E76" s="257" t="str">
        <f>IF((N61&gt;0),"Grossed up for fees","")</f>
        <v/>
      </c>
      <c r="F76" s="187"/>
      <c r="G76" s="188" t="s">
        <v>36</v>
      </c>
      <c r="H76" s="199">
        <f>L67</f>
        <v>0</v>
      </c>
      <c r="I76" s="190"/>
      <c r="L76" s="186"/>
      <c r="M76" s="204"/>
      <c r="N76" s="205"/>
      <c r="P76" s="186"/>
    </row>
    <row r="77" spans="1:58" ht="15.5" x14ac:dyDescent="0.35">
      <c r="A77" s="78"/>
      <c r="B77" s="78"/>
      <c r="C77" s="255" t="str">
        <f t="shared" si="2"/>
        <v>Unsubsudised</v>
      </c>
      <c r="D77" s="256">
        <f>H76</f>
        <v>0</v>
      </c>
      <c r="E77" s="257" t="str">
        <f>IF((N65&gt;0),"Grossed up for fees","")</f>
        <v/>
      </c>
      <c r="F77" s="187"/>
      <c r="G77" s="188" t="str">
        <f>IF((J78=2),K78,(IF((H69&gt;H5),"PLUS Loan to fulfil this CoA","")))</f>
        <v/>
      </c>
      <c r="I77" s="143" t="str">
        <f>IF((K73&lt;K70),K70,"")</f>
        <v/>
      </c>
      <c r="J77" s="132" t="s">
        <v>303</v>
      </c>
      <c r="M77" s="204"/>
      <c r="N77" s="205"/>
      <c r="P77" s="186"/>
    </row>
    <row r="78" spans="1:58" x14ac:dyDescent="0.3">
      <c r="A78" s="78"/>
      <c r="B78" s="78"/>
      <c r="C78" s="255" t="str">
        <f t="shared" si="2"/>
        <v/>
      </c>
      <c r="D78" s="256"/>
      <c r="E78" s="256" t="str">
        <f>I77</f>
        <v/>
      </c>
      <c r="G78" s="188" t="str">
        <f>IF((J78=2),"","Maximum PLUS Loan allowed for this CoA")</f>
        <v>Maximum PLUS Loan allowed for this CoA</v>
      </c>
      <c r="H78" s="206">
        <f>IF((J78=2),"",(IF((K70&lt;K73),(K70-M67-M63),K73)))</f>
        <v>0</v>
      </c>
      <c r="I78" s="190"/>
      <c r="J78" s="143">
        <f>(IF((D27="Y"),1,0))+(IF((D31="I"),1,0))</f>
        <v>0</v>
      </c>
      <c r="K78" s="143" t="s">
        <v>310</v>
      </c>
      <c r="M78" s="204"/>
      <c r="N78" s="203"/>
    </row>
    <row r="79" spans="1:58" ht="16" thickBot="1" x14ac:dyDescent="0.4">
      <c r="A79" s="269"/>
      <c r="B79" s="269"/>
      <c r="C79" s="255" t="str">
        <f t="shared" si="2"/>
        <v>Maximum PLUS Loan allowed for this CoA</v>
      </c>
      <c r="D79" s="256">
        <f>H78</f>
        <v>0</v>
      </c>
      <c r="E79" s="81"/>
      <c r="F79" s="187"/>
      <c r="G79" s="197" t="s">
        <v>158</v>
      </c>
      <c r="H79" s="207">
        <f>SUM(H75:H78)</f>
        <v>0</v>
      </c>
      <c r="I79" s="190"/>
      <c r="M79" s="204"/>
      <c r="N79" s="205"/>
    </row>
    <row r="80" spans="1:58" ht="16.5" thickTop="1" thickBot="1" x14ac:dyDescent="0.4">
      <c r="A80" s="78"/>
      <c r="B80" s="78"/>
      <c r="C80" s="264" t="str">
        <f t="shared" si="2"/>
        <v>Total Eligible before adjustment for Fees</v>
      </c>
      <c r="D80" s="265">
        <f>H79</f>
        <v>0</v>
      </c>
      <c r="E80" s="257"/>
      <c r="F80" s="187"/>
      <c r="G80" s="208"/>
      <c r="H80" s="209"/>
      <c r="M80" s="204"/>
      <c r="N80" s="205"/>
    </row>
    <row r="81" spans="1:58" ht="19.5" thickTop="1" thickBot="1" x14ac:dyDescent="0.5">
      <c r="A81" s="78"/>
      <c r="B81" s="78"/>
      <c r="C81" s="146"/>
      <c r="D81" s="257"/>
      <c r="E81" s="257"/>
      <c r="F81" s="210"/>
      <c r="G81" s="211"/>
      <c r="J81" s="208"/>
      <c r="K81" s="208"/>
      <c r="L81" s="208"/>
      <c r="M81" s="208"/>
      <c r="N81" s="208"/>
      <c r="O81" s="208"/>
      <c r="P81" s="208"/>
      <c r="Q81" s="212"/>
    </row>
    <row r="82" spans="1:58" s="217" customFormat="1" ht="18.5" x14ac:dyDescent="0.45">
      <c r="A82" s="375" t="s">
        <v>342</v>
      </c>
      <c r="B82" s="385"/>
      <c r="C82" s="386" t="s">
        <v>153</v>
      </c>
      <c r="D82" s="387"/>
      <c r="E82" s="346"/>
      <c r="F82" s="210"/>
      <c r="G82" s="211"/>
      <c r="H82" s="208" t="s">
        <v>62</v>
      </c>
      <c r="I82" s="213" t="s">
        <v>77</v>
      </c>
      <c r="J82" s="211"/>
      <c r="K82" s="211"/>
      <c r="L82" s="211"/>
      <c r="M82" s="211"/>
      <c r="N82" s="211"/>
      <c r="O82" s="211"/>
      <c r="P82" s="211"/>
      <c r="Q82" s="214"/>
      <c r="R82" s="215"/>
      <c r="S82" s="215"/>
      <c r="T82" s="215"/>
      <c r="U82" s="215"/>
      <c r="V82" s="215"/>
      <c r="W82" s="215"/>
      <c r="X82" s="215"/>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row>
    <row r="83" spans="1:58" s="220" customFormat="1" ht="18.5" x14ac:dyDescent="0.45">
      <c r="A83" s="402"/>
      <c r="B83" s="403"/>
      <c r="C83" s="404" t="str">
        <f>IF(H67&gt;H5, I82,"  ")</f>
        <v xml:space="preserve">  </v>
      </c>
      <c r="D83" s="405"/>
      <c r="E83" s="406"/>
      <c r="F83" s="210"/>
      <c r="G83" s="211"/>
      <c r="H83" s="208" t="s">
        <v>63</v>
      </c>
      <c r="I83" s="213" t="s">
        <v>97</v>
      </c>
      <c r="J83" s="211"/>
      <c r="K83" s="211"/>
      <c r="L83" s="211"/>
      <c r="M83" s="211"/>
      <c r="N83" s="211"/>
      <c r="O83" s="211"/>
      <c r="P83" s="211"/>
      <c r="Q83" s="214"/>
      <c r="R83" s="218"/>
      <c r="S83" s="218"/>
      <c r="T83" s="218"/>
      <c r="U83" s="218"/>
      <c r="V83" s="218"/>
      <c r="W83" s="218"/>
      <c r="X83" s="218"/>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row>
    <row r="84" spans="1:58" s="229" customFormat="1" ht="19" thickBot="1" x14ac:dyDescent="0.5">
      <c r="A84" s="407"/>
      <c r="B84" s="408"/>
      <c r="C84" s="409" t="str">
        <f>IF(H67&gt;H5, I83,I84)</f>
        <v>You are allowed to borrow up to the values above</v>
      </c>
      <c r="D84" s="410"/>
      <c r="E84" s="411"/>
      <c r="F84" s="221"/>
      <c r="G84" s="222"/>
      <c r="H84" s="223" t="s">
        <v>61</v>
      </c>
      <c r="I84" s="224" t="s">
        <v>81</v>
      </c>
      <c r="J84" s="225"/>
      <c r="K84" s="225"/>
      <c r="L84" s="225"/>
      <c r="M84" s="225"/>
      <c r="N84" s="225"/>
      <c r="O84" s="225"/>
      <c r="P84" s="225"/>
      <c r="Q84" s="226"/>
      <c r="R84" s="227"/>
      <c r="S84" s="227"/>
      <c r="T84" s="227"/>
      <c r="U84" s="227"/>
      <c r="V84" s="227"/>
      <c r="W84" s="227"/>
      <c r="X84" s="227"/>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row>
    <row r="85" spans="1:58" s="229" customFormat="1" ht="19" thickBot="1" x14ac:dyDescent="0.5">
      <c r="A85" s="85"/>
      <c r="B85" s="85"/>
      <c r="C85" s="86"/>
      <c r="D85" s="87"/>
      <c r="E85" s="87"/>
      <c r="F85" s="230"/>
      <c r="G85" s="222"/>
      <c r="H85" s="225"/>
      <c r="I85" s="225"/>
      <c r="J85" s="222"/>
      <c r="K85" s="222"/>
      <c r="L85" s="222"/>
      <c r="M85" s="222"/>
      <c r="N85" s="222"/>
      <c r="O85" s="222"/>
      <c r="P85" s="222"/>
      <c r="Q85" s="231"/>
      <c r="R85" s="227"/>
      <c r="S85" s="227"/>
      <c r="T85" s="227"/>
      <c r="U85" s="227"/>
      <c r="V85" s="227"/>
      <c r="W85" s="227"/>
      <c r="X85" s="227"/>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row>
    <row r="86" spans="1:58" s="86" customFormat="1" ht="52.5" customHeight="1" thickBot="1" x14ac:dyDescent="0.5">
      <c r="A86" s="383" t="s">
        <v>343</v>
      </c>
      <c r="B86" s="383"/>
      <c r="C86" s="384" t="str">
        <f>IF((D38=G12),"THIS SECTION DOES NOT APPLY TO SALLIE MAE LOANS","YOU TELL US HOW MUCH WOULD YOU LIKE TO BORROW - YOU MAY REDUCE THE FIGURES IN BLUE")</f>
        <v>YOU TELL US HOW MUCH WOULD YOU LIKE TO BORROW - YOU MAY REDUCE THE FIGURES IN BLUE</v>
      </c>
      <c r="D86" s="381"/>
      <c r="E86" s="382"/>
      <c r="F86" s="232"/>
      <c r="G86" s="233" t="s">
        <v>127</v>
      </c>
      <c r="H86" s="234" t="s">
        <v>98</v>
      </c>
      <c r="I86" s="222"/>
      <c r="J86" s="222"/>
      <c r="K86" s="222"/>
      <c r="L86" s="225"/>
      <c r="M86" s="225"/>
      <c r="N86" s="225"/>
      <c r="O86" s="222"/>
      <c r="P86" s="222"/>
      <c r="Q86" s="231"/>
      <c r="R86" s="235"/>
      <c r="S86" s="235"/>
      <c r="T86" s="235"/>
      <c r="U86" s="235"/>
      <c r="V86" s="235"/>
      <c r="W86" s="235"/>
      <c r="X86" s="235"/>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row>
    <row r="87" spans="1:58" s="86" customFormat="1" ht="47" thickBot="1" x14ac:dyDescent="0.4">
      <c r="A87" s="359" t="s">
        <v>127</v>
      </c>
      <c r="B87" s="360" t="s">
        <v>152</v>
      </c>
      <c r="C87" s="361" t="s">
        <v>177</v>
      </c>
      <c r="D87" s="360" t="s">
        <v>306</v>
      </c>
      <c r="E87" s="362" t="s">
        <v>98</v>
      </c>
      <c r="F87" s="237"/>
      <c r="G87" s="238">
        <f>ROUND(K63,0)</f>
        <v>0</v>
      </c>
      <c r="H87" s="239">
        <f>ROUND(((G87*(1-O52))),0)</f>
        <v>0</v>
      </c>
      <c r="I87" s="222"/>
      <c r="J87" s="222"/>
      <c r="K87" s="222"/>
      <c r="L87" s="222"/>
      <c r="M87" s="222"/>
      <c r="N87" s="222"/>
      <c r="O87" s="222"/>
      <c r="P87" s="222"/>
      <c r="Q87" s="231"/>
      <c r="R87" s="235"/>
      <c r="S87" s="235"/>
      <c r="T87" s="235"/>
      <c r="U87" s="235"/>
      <c r="V87" s="235"/>
      <c r="W87" s="235"/>
      <c r="X87" s="235"/>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row>
    <row r="88" spans="1:58" s="86" customFormat="1" ht="15.5" x14ac:dyDescent="0.35">
      <c r="A88" s="412">
        <f>IF((D38=G12),0,G87)</f>
        <v>0</v>
      </c>
      <c r="B88" s="363">
        <f>O52</f>
        <v>1.057E-2</v>
      </c>
      <c r="C88" s="364" t="str">
        <f>C76</f>
        <v>From July 2012 there is no Subsidised Loan for postgraduates</v>
      </c>
      <c r="D88" s="365">
        <v>0</v>
      </c>
      <c r="E88" s="366">
        <f>ROUND(((D88*(1-O52))),0)</f>
        <v>0</v>
      </c>
      <c r="F88" s="237"/>
      <c r="G88" s="238">
        <f>ROUND(L67,0)</f>
        <v>0</v>
      </c>
      <c r="H88" s="239">
        <f>ROUND(((G88*(1-O53))),0)</f>
        <v>0</v>
      </c>
      <c r="I88" s="222"/>
      <c r="J88" s="222"/>
      <c r="K88" s="222"/>
      <c r="L88" s="222"/>
      <c r="M88" s="222"/>
      <c r="N88" s="222"/>
      <c r="O88" s="222"/>
      <c r="P88" s="222"/>
      <c r="Q88" s="231"/>
      <c r="R88" s="235"/>
      <c r="S88" s="235"/>
      <c r="T88" s="235"/>
      <c r="U88" s="235"/>
      <c r="V88" s="235"/>
      <c r="W88" s="235"/>
      <c r="X88" s="235"/>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row>
    <row r="89" spans="1:58" s="86" customFormat="1" ht="15.5" x14ac:dyDescent="0.35">
      <c r="A89" s="413">
        <f>IF((D38=G12),0,G88)</f>
        <v>0</v>
      </c>
      <c r="B89" s="367">
        <f>O53</f>
        <v>1.057E-2</v>
      </c>
      <c r="C89" s="368" t="s">
        <v>36</v>
      </c>
      <c r="D89" s="369">
        <v>0</v>
      </c>
      <c r="E89" s="370">
        <f>ROUND(((D89*(1-O53))),0)</f>
        <v>0</v>
      </c>
      <c r="F89" s="237"/>
      <c r="G89" s="238">
        <f>IF((J78=2),"",(ROUND(K75,0)))</f>
        <v>0</v>
      </c>
      <c r="H89" s="239">
        <f>ROUND(((G89*(1-O54))),0)</f>
        <v>0</v>
      </c>
      <c r="I89" s="222"/>
      <c r="J89" s="222"/>
      <c r="K89" s="222"/>
      <c r="L89" s="222"/>
      <c r="M89" s="222"/>
      <c r="N89" s="222"/>
      <c r="O89" s="222"/>
      <c r="P89" s="222"/>
      <c r="Q89" s="231"/>
      <c r="R89" s="240"/>
      <c r="S89" s="235"/>
      <c r="T89" s="235"/>
      <c r="U89" s="235"/>
      <c r="V89" s="235"/>
      <c r="W89" s="235"/>
      <c r="X89" s="235"/>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row>
    <row r="90" spans="1:58" s="86" customFormat="1" ht="16" thickBot="1" x14ac:dyDescent="0.4">
      <c r="A90" s="413">
        <f>IF((D38=G12),0,G89)</f>
        <v>0</v>
      </c>
      <c r="B90" s="367">
        <f>O54</f>
        <v>4.2279999999999998E-2</v>
      </c>
      <c r="C90" s="368" t="str">
        <f>IF((J78=2),K78,"PLUS Loan (Adjusted up to include all fees)")</f>
        <v>PLUS Loan (Adjusted up to include all fees)</v>
      </c>
      <c r="D90" s="369">
        <v>0</v>
      </c>
      <c r="E90" s="370">
        <f>ROUND(((D90*(1-O54))),0)</f>
        <v>0</v>
      </c>
      <c r="F90" s="230"/>
      <c r="G90" s="241">
        <f>SUM(G87:G89)</f>
        <v>0</v>
      </c>
      <c r="H90" s="242">
        <f>SUM(H87:H89)</f>
        <v>0</v>
      </c>
      <c r="I90" s="222"/>
      <c r="J90" s="222"/>
      <c r="K90" s="222"/>
      <c r="L90" s="222"/>
      <c r="M90" s="222"/>
      <c r="N90" s="222"/>
      <c r="O90" s="222"/>
      <c r="P90" s="243"/>
      <c r="Q90" s="244"/>
      <c r="R90" s="235"/>
      <c r="S90" s="235"/>
      <c r="T90" s="235"/>
      <c r="U90" s="235"/>
      <c r="V90" s="235"/>
      <c r="W90" s="235"/>
      <c r="X90" s="235"/>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row>
    <row r="91" spans="1:58" s="86" customFormat="1" ht="19.5" thickTop="1" thickBot="1" x14ac:dyDescent="0.5">
      <c r="A91" s="414">
        <f>IF((D38=G12),0,G90)</f>
        <v>0</v>
      </c>
      <c r="B91" s="371"/>
      <c r="C91" s="372" t="s">
        <v>150</v>
      </c>
      <c r="D91" s="373">
        <f>SUM(D88:D90)</f>
        <v>0</v>
      </c>
      <c r="E91" s="374">
        <f>SUM(E88:E90)</f>
        <v>0</v>
      </c>
      <c r="F91" s="245"/>
      <c r="G91" s="222"/>
      <c r="H91" s="223" t="s">
        <v>82</v>
      </c>
      <c r="I91" s="246" t="s">
        <v>84</v>
      </c>
      <c r="J91" s="222"/>
      <c r="K91" s="222"/>
      <c r="L91" s="222"/>
      <c r="M91" s="222"/>
      <c r="N91" s="222"/>
      <c r="O91" s="222"/>
      <c r="P91" s="222"/>
      <c r="Q91" s="247"/>
      <c r="R91" s="235"/>
      <c r="S91" s="235"/>
      <c r="T91" s="235"/>
      <c r="U91" s="235"/>
      <c r="V91" s="235"/>
      <c r="W91" s="235"/>
      <c r="X91" s="235"/>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row>
    <row r="92" spans="1:58" s="86" customFormat="1" ht="18.5" x14ac:dyDescent="0.45">
      <c r="A92" s="388" t="s">
        <v>347</v>
      </c>
      <c r="B92" s="389"/>
      <c r="C92" s="390" t="str">
        <f>IF((D91&lt;(H5*1.04)),I91,I93)</f>
        <v>We will check everything you have provided with the USDE data and regulations</v>
      </c>
      <c r="D92" s="391"/>
      <c r="E92" s="392"/>
      <c r="F92" s="245"/>
      <c r="G92" s="222"/>
      <c r="H92" s="223" t="s">
        <v>83</v>
      </c>
      <c r="I92" s="246" t="s">
        <v>96</v>
      </c>
      <c r="J92" s="222"/>
      <c r="K92" s="222"/>
      <c r="L92" s="222"/>
      <c r="M92" s="222"/>
      <c r="N92" s="222"/>
      <c r="O92" s="222"/>
      <c r="P92" s="222"/>
      <c r="Q92" s="231"/>
      <c r="R92" s="235"/>
      <c r="S92" s="235"/>
      <c r="T92" s="235"/>
      <c r="U92" s="235"/>
      <c r="V92" s="235"/>
      <c r="W92" s="235"/>
      <c r="X92" s="235"/>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row>
    <row r="93" spans="1:58" s="86" customFormat="1" ht="19" thickBot="1" x14ac:dyDescent="0.5">
      <c r="A93" s="393"/>
      <c r="B93" s="394"/>
      <c r="C93" s="395" t="str">
        <f>IF((D91&lt;(H5*1.04)),I92,I94)</f>
        <v>If everything is correct we will originate your loans and issue a certificate for visa application</v>
      </c>
      <c r="D93" s="396"/>
      <c r="E93" s="397"/>
      <c r="F93" s="245"/>
      <c r="G93" s="222"/>
      <c r="H93" s="223" t="s">
        <v>62</v>
      </c>
      <c r="I93" s="248" t="s">
        <v>85</v>
      </c>
      <c r="J93" s="222"/>
      <c r="K93" s="222"/>
      <c r="L93" s="222"/>
      <c r="M93" s="222"/>
      <c r="N93" s="222"/>
      <c r="O93" s="222"/>
      <c r="P93" s="222"/>
      <c r="Q93" s="231"/>
      <c r="R93" s="235"/>
      <c r="S93" s="235"/>
      <c r="T93" s="235"/>
      <c r="U93" s="235"/>
      <c r="V93" s="235"/>
      <c r="W93" s="235"/>
      <c r="X93" s="235"/>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row>
    <row r="94" spans="1:58" s="86" customFormat="1" ht="16" thickBot="1" x14ac:dyDescent="0.4">
      <c r="A94" s="353"/>
      <c r="B94" s="354"/>
      <c r="C94" s="355"/>
      <c r="D94" s="352"/>
      <c r="E94" s="352"/>
      <c r="F94" s="245"/>
      <c r="G94" s="222"/>
      <c r="H94" s="223" t="s">
        <v>63</v>
      </c>
      <c r="I94" s="222"/>
      <c r="J94" s="222"/>
      <c r="K94" s="222"/>
      <c r="L94" s="222"/>
      <c r="M94" s="222"/>
      <c r="N94" s="222"/>
      <c r="O94" s="222"/>
      <c r="P94" s="222"/>
      <c r="Q94" s="231"/>
      <c r="R94" s="235"/>
      <c r="S94" s="235"/>
      <c r="T94" s="235"/>
      <c r="U94" s="235"/>
      <c r="V94" s="235"/>
      <c r="W94" s="235"/>
      <c r="X94" s="235"/>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row>
    <row r="95" spans="1:58" s="86" customFormat="1" ht="36.5" thickBot="1" x14ac:dyDescent="0.45">
      <c r="A95" s="398" t="s">
        <v>348</v>
      </c>
      <c r="B95" s="356">
        <f>B88</f>
        <v>1.057E-2</v>
      </c>
      <c r="C95" s="357" t="str">
        <f>C88&amp;" Origination Fee of "&amp;L52&amp;"% less Interest Rebate of "&amp;M52&amp;"%"</f>
        <v>From July 2012 there is no Subsidised Loan for postgraduates Origination Fee of 1.057% less Interest Rebate of 0%</v>
      </c>
      <c r="D95" s="352"/>
      <c r="E95" s="358"/>
      <c r="F95" s="245"/>
      <c r="G95" s="222"/>
      <c r="H95" s="222"/>
      <c r="I95" s="222"/>
      <c r="J95" s="222"/>
      <c r="K95" s="222"/>
      <c r="L95" s="222"/>
      <c r="M95" s="222"/>
      <c r="N95" s="222"/>
      <c r="O95" s="222"/>
      <c r="P95" s="222"/>
      <c r="Q95" s="231"/>
      <c r="R95" s="235"/>
      <c r="S95" s="235"/>
      <c r="T95" s="235"/>
      <c r="U95" s="235"/>
      <c r="V95" s="235"/>
      <c r="W95" s="235"/>
      <c r="X95" s="235"/>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row>
    <row r="96" spans="1:58" s="86" customFormat="1" ht="15.5" x14ac:dyDescent="0.35">
      <c r="A96" s="353"/>
      <c r="B96" s="356">
        <f>B89</f>
        <v>1.057E-2</v>
      </c>
      <c r="C96" s="357" t="str">
        <f>C89&amp;" Origination Fee of "&amp;L53&amp;"% less Interest Rebate of "&amp;M53&amp;"%"</f>
        <v>Unsubsudised Origination Fee of 1.057% less Interest Rebate of 0%</v>
      </c>
      <c r="D96" s="352"/>
      <c r="E96" s="352"/>
      <c r="F96" s="245"/>
      <c r="G96" s="222"/>
      <c r="H96" s="222"/>
      <c r="I96" s="222"/>
      <c r="J96" s="222"/>
      <c r="K96" s="222"/>
      <c r="L96" s="222"/>
      <c r="M96" s="222"/>
      <c r="N96" s="222"/>
      <c r="O96" s="222"/>
      <c r="P96" s="222"/>
      <c r="Q96" s="231"/>
      <c r="R96" s="235"/>
      <c r="S96" s="235"/>
      <c r="T96" s="235"/>
      <c r="U96" s="235"/>
      <c r="V96" s="235"/>
      <c r="W96" s="235"/>
      <c r="X96" s="235"/>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row>
    <row r="97" spans="1:58" s="86" customFormat="1" ht="15.5" x14ac:dyDescent="0.35">
      <c r="A97" s="354"/>
      <c r="B97" s="356">
        <v>4.2279999999999998E-2</v>
      </c>
      <c r="C97" s="357" t="str">
        <f>C90&amp;" Origination Fee of "&amp;L54&amp;"% less Interest Rebate of "&amp;M54&amp;"%"</f>
        <v>PLUS Loan (Adjusted up to include all fees) Origination Fee of 4.228% less Interest Rebate of 0%</v>
      </c>
      <c r="D97" s="352"/>
      <c r="E97" s="352"/>
      <c r="F97" s="245"/>
      <c r="G97" s="222"/>
      <c r="H97" s="222"/>
      <c r="I97" s="222"/>
      <c r="J97" s="222"/>
      <c r="K97" s="222"/>
      <c r="L97" s="222"/>
      <c r="M97" s="222"/>
      <c r="N97" s="222"/>
      <c r="O97" s="222"/>
      <c r="P97" s="222"/>
      <c r="Q97" s="231"/>
      <c r="R97" s="235"/>
      <c r="S97" s="235"/>
      <c r="T97" s="235"/>
      <c r="U97" s="235"/>
      <c r="V97" s="235"/>
      <c r="W97" s="235"/>
      <c r="X97" s="235"/>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row>
    <row r="98" spans="1:58" s="86" customFormat="1" ht="15.5" x14ac:dyDescent="0.35">
      <c r="A98" s="354"/>
      <c r="B98" s="350"/>
      <c r="C98" s="351"/>
      <c r="D98" s="352"/>
      <c r="E98" s="352"/>
      <c r="F98" s="245"/>
      <c r="G98" s="222"/>
      <c r="H98" s="222"/>
      <c r="I98" s="222"/>
      <c r="J98" s="222"/>
      <c r="K98" s="222"/>
      <c r="L98" s="222"/>
      <c r="M98" s="222"/>
      <c r="N98" s="222"/>
      <c r="O98" s="222"/>
      <c r="P98" s="222"/>
      <c r="Q98" s="231"/>
      <c r="R98" s="235"/>
      <c r="S98" s="235"/>
      <c r="T98" s="235"/>
      <c r="U98" s="235"/>
      <c r="V98" s="235"/>
      <c r="W98" s="235"/>
      <c r="X98" s="235"/>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row>
    <row r="99" spans="1:58" ht="15.5" x14ac:dyDescent="0.35">
      <c r="A99" s="354"/>
      <c r="B99" s="354"/>
      <c r="C99" s="351"/>
      <c r="D99" s="352"/>
      <c r="E99" s="352"/>
    </row>
    <row r="100" spans="1:58" x14ac:dyDescent="0.3">
      <c r="A100" s="269"/>
      <c r="B100" s="269"/>
      <c r="C100" s="146"/>
      <c r="D100" s="81"/>
      <c r="E100" s="81"/>
    </row>
    <row r="101" spans="1:58" x14ac:dyDescent="0.3">
      <c r="A101" s="270"/>
      <c r="B101" s="269"/>
      <c r="C101" s="146"/>
      <c r="D101" s="81"/>
      <c r="E101" s="81"/>
    </row>
    <row r="102" spans="1:58" x14ac:dyDescent="0.3">
      <c r="A102" s="270"/>
      <c r="B102" s="269"/>
      <c r="C102" s="146"/>
      <c r="D102" s="81"/>
      <c r="E102" s="81"/>
    </row>
    <row r="103" spans="1:58" x14ac:dyDescent="0.3">
      <c r="A103" s="269"/>
      <c r="B103" s="269"/>
      <c r="C103" s="146"/>
      <c r="D103" s="81"/>
      <c r="E103" s="81"/>
    </row>
    <row r="104" spans="1:58" x14ac:dyDescent="0.3">
      <c r="A104" s="269"/>
      <c r="B104" s="269"/>
      <c r="C104" s="146"/>
      <c r="D104" s="81"/>
      <c r="E104" s="81"/>
    </row>
    <row r="105" spans="1:58" x14ac:dyDescent="0.3">
      <c r="A105" s="269"/>
      <c r="B105" s="269"/>
      <c r="C105" s="146"/>
      <c r="D105" s="81"/>
      <c r="E105" s="81"/>
    </row>
    <row r="106" spans="1:58" x14ac:dyDescent="0.3">
      <c r="A106" s="269"/>
      <c r="B106" s="269"/>
      <c r="C106" s="146"/>
      <c r="D106" s="81"/>
      <c r="E106" s="81"/>
    </row>
    <row r="107" spans="1:58" x14ac:dyDescent="0.3">
      <c r="A107" s="269"/>
      <c r="B107" s="269"/>
      <c r="C107" s="146"/>
      <c r="D107" s="81"/>
      <c r="E107" s="81"/>
    </row>
    <row r="108" spans="1:58" x14ac:dyDescent="0.3">
      <c r="A108" s="269"/>
      <c r="B108" s="269"/>
      <c r="C108" s="146"/>
      <c r="D108" s="81"/>
      <c r="E108" s="81"/>
    </row>
    <row r="109" spans="1:58" x14ac:dyDescent="0.3">
      <c r="A109" s="269"/>
      <c r="B109" s="269"/>
      <c r="C109" s="146"/>
      <c r="D109" s="81"/>
      <c r="E109" s="81"/>
    </row>
    <row r="110" spans="1:58" x14ac:dyDescent="0.3">
      <c r="A110" s="269"/>
      <c r="B110" s="269"/>
      <c r="C110" s="146"/>
      <c r="D110" s="81"/>
      <c r="E110" s="81"/>
    </row>
    <row r="111" spans="1:58" x14ac:dyDescent="0.3">
      <c r="A111" s="269"/>
      <c r="B111" s="269"/>
      <c r="C111" s="146"/>
      <c r="D111" s="81"/>
      <c r="E111" s="81"/>
    </row>
    <row r="112" spans="1:58" x14ac:dyDescent="0.3">
      <c r="A112" s="269"/>
      <c r="B112" s="269"/>
      <c r="C112" s="146"/>
      <c r="D112" s="81"/>
      <c r="E112" s="81"/>
    </row>
    <row r="113" spans="1:5" x14ac:dyDescent="0.3">
      <c r="A113" s="269"/>
      <c r="B113" s="269"/>
      <c r="C113" s="146"/>
      <c r="D113" s="81"/>
      <c r="E113" s="81"/>
    </row>
    <row r="114" spans="1:5" x14ac:dyDescent="0.3">
      <c r="A114" s="269"/>
      <c r="B114" s="269"/>
      <c r="C114" s="146"/>
      <c r="D114" s="81"/>
      <c r="E114" s="81"/>
    </row>
    <row r="115" spans="1:5" x14ac:dyDescent="0.3">
      <c r="A115" s="269"/>
      <c r="B115" s="269"/>
      <c r="C115" s="146"/>
      <c r="D115" s="81"/>
      <c r="E115" s="81"/>
    </row>
    <row r="116" spans="1:5" x14ac:dyDescent="0.3">
      <c r="A116" s="269"/>
      <c r="B116" s="269"/>
      <c r="C116" s="146"/>
      <c r="D116" s="81"/>
      <c r="E116" s="81"/>
    </row>
    <row r="117" spans="1:5" x14ac:dyDescent="0.3">
      <c r="A117" s="269"/>
      <c r="B117" s="269"/>
      <c r="C117" s="146"/>
      <c r="D117" s="81"/>
      <c r="E117" s="81"/>
    </row>
    <row r="118" spans="1:5" x14ac:dyDescent="0.3">
      <c r="A118" s="269"/>
      <c r="B118" s="269"/>
      <c r="C118" s="146"/>
      <c r="D118" s="81"/>
      <c r="E118" s="81"/>
    </row>
    <row r="119" spans="1:5" x14ac:dyDescent="0.3">
      <c r="A119" s="269"/>
      <c r="B119" s="269"/>
      <c r="C119" s="146"/>
      <c r="D119" s="81"/>
      <c r="E119" s="81"/>
    </row>
    <row r="120" spans="1:5" x14ac:dyDescent="0.3">
      <c r="A120" s="269"/>
      <c r="B120" s="269"/>
      <c r="C120" s="146"/>
      <c r="D120" s="81"/>
      <c r="E120" s="81"/>
    </row>
    <row r="121" spans="1:5" x14ac:dyDescent="0.3">
      <c r="A121" s="269"/>
      <c r="B121" s="269"/>
      <c r="C121" s="146"/>
      <c r="D121" s="81"/>
      <c r="E121" s="81"/>
    </row>
    <row r="122" spans="1:5" x14ac:dyDescent="0.3">
      <c r="A122" s="269"/>
      <c r="B122" s="269"/>
      <c r="C122" s="146"/>
      <c r="D122" s="81"/>
      <c r="E122" s="81"/>
    </row>
    <row r="123" spans="1:5" x14ac:dyDescent="0.3">
      <c r="A123" s="269"/>
      <c r="B123" s="269"/>
      <c r="C123" s="146"/>
      <c r="D123" s="81"/>
      <c r="E123" s="81"/>
    </row>
    <row r="124" spans="1:5" x14ac:dyDescent="0.3">
      <c r="A124" s="269"/>
      <c r="B124" s="269"/>
      <c r="C124" s="146"/>
      <c r="D124" s="81"/>
      <c r="E124" s="81"/>
    </row>
    <row r="125" spans="1:5" x14ac:dyDescent="0.3">
      <c r="A125" s="269"/>
      <c r="B125" s="269"/>
      <c r="C125" s="146"/>
      <c r="D125" s="81"/>
      <c r="E125" s="81"/>
    </row>
    <row r="126" spans="1:5" x14ac:dyDescent="0.3">
      <c r="A126" s="269"/>
      <c r="B126" s="269"/>
      <c r="C126" s="146"/>
      <c r="D126" s="81"/>
    </row>
  </sheetData>
  <sheetProtection algorithmName="SHA-512" hashValue="EZy5wSNKn5i8ePGwKSO2RbukJyryCJDT4FKwQUiTEospXslYoyGRnXSy5ImpwUOng3Rtwc3h8ft8Nto0Kh84lQ==" saltValue="tioJcXA6FfDgHCZkuPgLdg==" spinCount="100000" sheet="1" selectLockedCells="1"/>
  <mergeCells count="16">
    <mergeCell ref="C12:D12"/>
    <mergeCell ref="B59:E59"/>
    <mergeCell ref="E49:E50"/>
    <mergeCell ref="D49:D50"/>
    <mergeCell ref="C20:E20"/>
    <mergeCell ref="C21:E21"/>
    <mergeCell ref="C22:E22"/>
    <mergeCell ref="C23:E23"/>
    <mergeCell ref="C24:E24"/>
    <mergeCell ref="C25:E25"/>
    <mergeCell ref="C14:E14"/>
    <mergeCell ref="C15:E15"/>
    <mergeCell ref="C16:E16"/>
    <mergeCell ref="C17:E17"/>
    <mergeCell ref="C18:E18"/>
    <mergeCell ref="C19:E19"/>
  </mergeCells>
  <phoneticPr fontId="3" type="noConversion"/>
  <conditionalFormatting sqref="C28:C29 D28:D30">
    <cfRule type="cellIs" dxfId="0" priority="1" stopIfTrue="1" operator="equal">
      <formula>"Do not adjust this line"</formula>
    </cfRule>
  </conditionalFormatting>
  <dataValidations count="5">
    <dataValidation type="list" allowBlank="1" showInputMessage="1" showErrorMessage="1" sqref="D31" xr:uid="{00000000-0002-0000-0300-000000000000}">
      <formula1>$G$9:$G$10</formula1>
    </dataValidation>
    <dataValidation type="list" allowBlank="1" showInputMessage="1" showErrorMessage="1" sqref="D38" xr:uid="{00000000-0002-0000-0300-000001000000}">
      <formula1>$G$12:$G$13</formula1>
    </dataValidation>
    <dataValidation type="list" allowBlank="1" showInputMessage="1" showErrorMessage="1" sqref="D30" xr:uid="{00000000-0002-0000-0300-000002000000}">
      <formula1>$I$9:$I$11</formula1>
    </dataValidation>
    <dataValidation type="list" allowBlank="1" showInputMessage="1" showErrorMessage="1" sqref="D27:D29" xr:uid="{00000000-0002-0000-0300-000003000000}">
      <formula1>$H$9:$H$10</formula1>
    </dataValidation>
    <dataValidation type="list" allowBlank="1" showInputMessage="1" showErrorMessage="1" sqref="F29 E30" xr:uid="{00000000-0002-0000-0300-000004000000}">
      <formula1>$I$9:$I$23</formula1>
    </dataValidation>
  </dataValidations>
  <printOptions horizontalCentered="1" verticalCentered="1"/>
  <pageMargins left="0.31496062992125984" right="0.19685039370078741" top="0.19685039370078741" bottom="0.39370078740157483" header="0" footer="0"/>
  <pageSetup paperSize="9" scale="47"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K57"/>
  <sheetViews>
    <sheetView topLeftCell="A2" zoomScale="110" zoomScaleNormal="110" workbookViewId="0">
      <selection activeCell="E8" sqref="E8"/>
    </sheetView>
  </sheetViews>
  <sheetFormatPr defaultColWidth="9.1796875" defaultRowHeight="13" x14ac:dyDescent="0.3"/>
  <cols>
    <col min="1" max="1" width="9.1796875" style="40"/>
    <col min="2" max="2" width="32.1796875" style="3" customWidth="1"/>
    <col min="3" max="3" width="38.1796875" style="3" bestFit="1" customWidth="1"/>
    <col min="4" max="4" width="16.26953125" style="3" customWidth="1"/>
    <col min="5" max="5" width="14" style="3" customWidth="1"/>
    <col min="6" max="6" width="5.1796875" style="8" customWidth="1"/>
    <col min="7" max="7" width="72.7265625" style="3" customWidth="1"/>
    <col min="8" max="8" width="14.26953125" style="3" customWidth="1"/>
    <col min="9" max="9" width="19.54296875" style="3" customWidth="1"/>
    <col min="10" max="10" width="14.26953125" style="3" customWidth="1"/>
    <col min="11" max="16384" width="9.1796875" style="3"/>
  </cols>
  <sheetData>
    <row r="1" spans="1:11" s="45" customFormat="1" ht="20.5" x14ac:dyDescent="0.45">
      <c r="A1" s="46"/>
      <c r="B1" s="44" t="s">
        <v>270</v>
      </c>
      <c r="C1" s="44"/>
      <c r="D1" s="44" t="s">
        <v>281</v>
      </c>
      <c r="E1" s="44"/>
      <c r="F1" s="49"/>
      <c r="G1" s="44"/>
      <c r="H1" s="44"/>
      <c r="I1" s="44"/>
      <c r="J1" s="44"/>
    </row>
    <row r="2" spans="1:11" s="5" customFormat="1" ht="15" x14ac:dyDescent="0.3">
      <c r="A2" s="47"/>
      <c r="D2" s="4" t="s">
        <v>282</v>
      </c>
      <c r="E2" s="4"/>
      <c r="F2" s="50"/>
      <c r="G2" s="4"/>
      <c r="H2" s="4"/>
      <c r="I2" s="4"/>
      <c r="J2" s="4"/>
    </row>
    <row r="3" spans="1:11" s="13" customFormat="1" ht="15" x14ac:dyDescent="0.3">
      <c r="A3" s="48"/>
      <c r="D3" s="13" t="s">
        <v>232</v>
      </c>
      <c r="F3" s="48"/>
      <c r="G3" s="14"/>
      <c r="H3" s="13" t="s">
        <v>233</v>
      </c>
    </row>
    <row r="4" spans="1:11" s="13" customFormat="1" ht="15" x14ac:dyDescent="0.3">
      <c r="A4" s="48"/>
      <c r="F4" s="48"/>
    </row>
    <row r="5" spans="1:11" x14ac:dyDescent="0.3">
      <c r="D5" s="42" t="s">
        <v>286</v>
      </c>
      <c r="E5" s="43"/>
      <c r="H5" s="42" t="s">
        <v>287</v>
      </c>
      <c r="I5" s="43"/>
      <c r="J5" s="42"/>
      <c r="K5" s="54"/>
    </row>
    <row r="6" spans="1:11" s="2" customFormat="1" x14ac:dyDescent="0.3">
      <c r="A6" s="40">
        <v>1</v>
      </c>
      <c r="B6" s="2" t="s">
        <v>197</v>
      </c>
      <c r="C6" s="6" t="s">
        <v>220</v>
      </c>
      <c r="D6" s="37" t="s">
        <v>373</v>
      </c>
      <c r="F6" s="40">
        <v>6</v>
      </c>
      <c r="G6" s="2" t="s">
        <v>218</v>
      </c>
      <c r="H6" s="3"/>
    </row>
    <row r="7" spans="1:11" x14ac:dyDescent="0.3">
      <c r="C7" s="6" t="s">
        <v>198</v>
      </c>
      <c r="D7" s="33">
        <v>45929</v>
      </c>
      <c r="E7" s="15">
        <f>D7+363</f>
        <v>46292</v>
      </c>
      <c r="G7" s="3" t="s">
        <v>312</v>
      </c>
      <c r="H7" s="32">
        <v>32000</v>
      </c>
      <c r="I7" s="16"/>
      <c r="J7" s="17">
        <f>H7</f>
        <v>32000</v>
      </c>
    </row>
    <row r="8" spans="1:11" x14ac:dyDescent="0.3">
      <c r="C8" s="6" t="s">
        <v>258</v>
      </c>
      <c r="D8" s="33">
        <v>45896</v>
      </c>
      <c r="H8" s="18"/>
      <c r="I8" s="16"/>
      <c r="J8" s="16"/>
    </row>
    <row r="9" spans="1:11" s="2" customFormat="1" x14ac:dyDescent="0.3">
      <c r="A9" s="40"/>
      <c r="B9" s="2" t="s">
        <v>200</v>
      </c>
      <c r="D9" s="9"/>
      <c r="F9" s="40">
        <v>7</v>
      </c>
      <c r="G9" s="2" t="s">
        <v>221</v>
      </c>
      <c r="H9" s="42" t="s">
        <v>289</v>
      </c>
      <c r="I9" s="43"/>
      <c r="J9" s="42"/>
    </row>
    <row r="10" spans="1:11" s="2" customFormat="1" x14ac:dyDescent="0.3">
      <c r="A10" s="40"/>
      <c r="B10" s="3" t="s">
        <v>199</v>
      </c>
      <c r="D10" s="33">
        <v>45929</v>
      </c>
      <c r="E10" s="20" t="s">
        <v>229</v>
      </c>
      <c r="F10" s="40"/>
      <c r="G10" s="3" t="s">
        <v>222</v>
      </c>
      <c r="H10" s="32">
        <v>500</v>
      </c>
      <c r="I10" s="21"/>
      <c r="J10" s="19"/>
    </row>
    <row r="11" spans="1:11" s="2" customFormat="1" x14ac:dyDescent="0.3">
      <c r="A11" s="40"/>
      <c r="B11" s="3" t="s">
        <v>234</v>
      </c>
      <c r="D11" s="33">
        <v>46234</v>
      </c>
      <c r="E11" s="22">
        <f>ROUND(((MAX(D11:D12)-D10)/7),0)</f>
        <v>44</v>
      </c>
      <c r="F11" s="40"/>
      <c r="G11" s="3" t="s">
        <v>227</v>
      </c>
      <c r="H11" s="32">
        <v>400</v>
      </c>
      <c r="I11" s="17">
        <f>MAX(H10:H11)</f>
        <v>500</v>
      </c>
      <c r="J11" s="19"/>
    </row>
    <row r="12" spans="1:11" s="2" customFormat="1" x14ac:dyDescent="0.3">
      <c r="A12" s="40"/>
      <c r="B12" s="10" t="s">
        <v>235</v>
      </c>
      <c r="C12" s="3" t="s">
        <v>236</v>
      </c>
      <c r="D12" s="33"/>
      <c r="E12" s="20" t="s">
        <v>248</v>
      </c>
      <c r="F12" s="40"/>
      <c r="G12" s="3" t="s">
        <v>268</v>
      </c>
      <c r="H12" s="32">
        <v>75</v>
      </c>
      <c r="I12" s="19"/>
      <c r="J12" s="19"/>
    </row>
    <row r="13" spans="1:11" s="6" customFormat="1" x14ac:dyDescent="0.3">
      <c r="A13" s="40"/>
      <c r="D13" s="7"/>
      <c r="E13" s="20">
        <v>52</v>
      </c>
      <c r="F13" s="40"/>
      <c r="G13" s="3" t="s">
        <v>246</v>
      </c>
      <c r="H13" s="32">
        <v>75</v>
      </c>
      <c r="I13" s="23"/>
      <c r="J13" s="23"/>
    </row>
    <row r="14" spans="1:11" x14ac:dyDescent="0.3">
      <c r="A14" s="40">
        <v>2</v>
      </c>
      <c r="B14" s="2" t="s">
        <v>201</v>
      </c>
      <c r="C14" s="6"/>
      <c r="D14" s="9"/>
      <c r="G14" s="3" t="s">
        <v>225</v>
      </c>
      <c r="H14" s="32">
        <v>25</v>
      </c>
      <c r="I14" s="16"/>
      <c r="J14" s="16"/>
    </row>
    <row r="15" spans="1:11" x14ac:dyDescent="0.3">
      <c r="B15" s="2" t="s">
        <v>228</v>
      </c>
      <c r="D15" s="9"/>
      <c r="G15" s="3" t="s">
        <v>226</v>
      </c>
      <c r="H15" s="32">
        <v>55</v>
      </c>
      <c r="I15" s="16"/>
      <c r="J15" s="16"/>
    </row>
    <row r="16" spans="1:11" x14ac:dyDescent="0.3">
      <c r="B16" s="6" t="s">
        <v>202</v>
      </c>
      <c r="D16" s="9"/>
      <c r="G16" s="3" t="s">
        <v>363</v>
      </c>
      <c r="H16" s="32">
        <v>70</v>
      </c>
      <c r="I16" s="17">
        <f>SUM(H12:H16)</f>
        <v>300</v>
      </c>
      <c r="J16" s="17">
        <f>(SUM(I11:I16))*E13</f>
        <v>41600</v>
      </c>
    </row>
    <row r="17" spans="1:11" x14ac:dyDescent="0.3">
      <c r="B17" s="6" t="s">
        <v>269</v>
      </c>
      <c r="D17" s="42" t="s">
        <v>302</v>
      </c>
      <c r="E17" s="43"/>
      <c r="H17" s="9"/>
      <c r="I17" s="16"/>
      <c r="J17" s="16"/>
    </row>
    <row r="18" spans="1:11" x14ac:dyDescent="0.3">
      <c r="B18" s="3" t="s">
        <v>203</v>
      </c>
      <c r="D18" s="33">
        <v>45929</v>
      </c>
      <c r="E18" s="15">
        <f>D19-1</f>
        <v>46040</v>
      </c>
      <c r="F18" s="8">
        <v>8</v>
      </c>
      <c r="G18" s="2" t="s">
        <v>231</v>
      </c>
      <c r="H18" s="9"/>
      <c r="I18" s="16"/>
      <c r="J18" s="16"/>
    </row>
    <row r="19" spans="1:11" x14ac:dyDescent="0.3">
      <c r="B19" s="3" t="s">
        <v>205</v>
      </c>
      <c r="D19" s="33">
        <v>46041</v>
      </c>
      <c r="E19" s="15">
        <f>IF((D20&gt;0),(D20-1),(MAX(D10:D11)))</f>
        <v>46146</v>
      </c>
      <c r="G19" s="3" t="s">
        <v>322</v>
      </c>
      <c r="H19" s="32">
        <v>1200</v>
      </c>
      <c r="I19" s="24"/>
      <c r="J19" s="17">
        <f>H19*2</f>
        <v>2400</v>
      </c>
    </row>
    <row r="20" spans="1:11" x14ac:dyDescent="0.3">
      <c r="B20" s="3" t="s">
        <v>204</v>
      </c>
      <c r="D20" s="33">
        <v>46147</v>
      </c>
      <c r="E20" s="15">
        <f>IF((D21&gt;0),(D21-1),(MAX(D11:D12)))</f>
        <v>46234</v>
      </c>
      <c r="G20" s="3" t="s">
        <v>323</v>
      </c>
      <c r="H20" s="32">
        <v>500</v>
      </c>
      <c r="I20" s="24"/>
      <c r="J20" s="16"/>
    </row>
    <row r="21" spans="1:11" x14ac:dyDescent="0.3">
      <c r="B21" s="3" t="s">
        <v>206</v>
      </c>
      <c r="D21" s="33"/>
      <c r="E21" s="15">
        <f>IF((D22&gt;0),(D22-1),(MAX(D11:D12)))</f>
        <v>46234</v>
      </c>
      <c r="G21" s="3" t="s">
        <v>374</v>
      </c>
      <c r="H21" s="32">
        <v>1200</v>
      </c>
      <c r="I21" s="24"/>
      <c r="J21" s="16"/>
    </row>
    <row r="22" spans="1:11" x14ac:dyDescent="0.3">
      <c r="E22" s="15">
        <f>E18</f>
        <v>46040</v>
      </c>
      <c r="F22" s="51" t="s">
        <v>271</v>
      </c>
      <c r="G22" s="34" t="s">
        <v>324</v>
      </c>
      <c r="H22" s="32">
        <v>472</v>
      </c>
      <c r="I22" s="24"/>
      <c r="J22" s="16"/>
    </row>
    <row r="23" spans="1:11" x14ac:dyDescent="0.3">
      <c r="A23" s="40">
        <v>3</v>
      </c>
      <c r="B23" s="2" t="s">
        <v>242</v>
      </c>
      <c r="D23" s="9"/>
      <c r="E23" s="15">
        <f>IF((D20&gt;1),(D20-1),E7)</f>
        <v>46146</v>
      </c>
      <c r="F23" s="51" t="s">
        <v>272</v>
      </c>
      <c r="G23" s="34" t="s">
        <v>3</v>
      </c>
      <c r="H23" s="32">
        <v>0</v>
      </c>
      <c r="I23" s="24"/>
      <c r="J23" s="16"/>
    </row>
    <row r="24" spans="1:11" x14ac:dyDescent="0.3">
      <c r="C24" s="6" t="s">
        <v>223</v>
      </c>
      <c r="D24" s="9"/>
      <c r="E24" s="15">
        <f>IF((D21&gt;1),(D21-1),E7)</f>
        <v>46292</v>
      </c>
      <c r="F24" s="51" t="s">
        <v>273</v>
      </c>
      <c r="G24" s="34" t="s">
        <v>3</v>
      </c>
      <c r="H24" s="32">
        <v>0</v>
      </c>
      <c r="I24" s="24"/>
      <c r="J24" s="16"/>
    </row>
    <row r="25" spans="1:11" x14ac:dyDescent="0.3">
      <c r="C25" s="6" t="s">
        <v>224</v>
      </c>
      <c r="D25" s="9"/>
      <c r="E25" s="15">
        <f>IF((D22&gt;1),(D22-1),E7)</f>
        <v>46292</v>
      </c>
      <c r="F25" s="51" t="s">
        <v>274</v>
      </c>
      <c r="G25" s="34" t="s">
        <v>3</v>
      </c>
      <c r="H25" s="32">
        <v>0</v>
      </c>
      <c r="I25" s="16"/>
      <c r="J25" s="17">
        <f>SUM(H20:H25)</f>
        <v>2172</v>
      </c>
    </row>
    <row r="26" spans="1:11" x14ac:dyDescent="0.3">
      <c r="C26" s="11" t="s">
        <v>209</v>
      </c>
      <c r="D26" s="35" t="s">
        <v>328</v>
      </c>
    </row>
    <row r="27" spans="1:11" x14ac:dyDescent="0.3">
      <c r="C27" s="11" t="s">
        <v>210</v>
      </c>
      <c r="D27" s="35" t="s">
        <v>330</v>
      </c>
    </row>
    <row r="28" spans="1:11" x14ac:dyDescent="0.3">
      <c r="C28" s="11" t="s">
        <v>211</v>
      </c>
      <c r="D28" s="35" t="s">
        <v>326</v>
      </c>
      <c r="F28" s="8">
        <v>9</v>
      </c>
      <c r="G28" s="2" t="s">
        <v>290</v>
      </c>
      <c r="H28" s="2"/>
      <c r="I28" s="42" t="s">
        <v>288</v>
      </c>
      <c r="J28" s="43"/>
      <c r="K28" s="54"/>
    </row>
    <row r="29" spans="1:11" x14ac:dyDescent="0.3">
      <c r="C29" s="11" t="s">
        <v>212</v>
      </c>
      <c r="D29" s="35" t="s">
        <v>332</v>
      </c>
      <c r="G29" s="6" t="s">
        <v>207</v>
      </c>
      <c r="H29" s="6" t="s">
        <v>208</v>
      </c>
      <c r="I29" s="53">
        <v>45896</v>
      </c>
      <c r="J29" s="3" t="s">
        <v>329</v>
      </c>
    </row>
    <row r="30" spans="1:11" x14ac:dyDescent="0.3">
      <c r="C30" s="11" t="s">
        <v>213</v>
      </c>
      <c r="D30" s="35" t="s">
        <v>367</v>
      </c>
      <c r="G30" s="6" t="s">
        <v>244</v>
      </c>
      <c r="H30" s="6" t="s">
        <v>208</v>
      </c>
      <c r="I30" s="437">
        <v>45896</v>
      </c>
    </row>
    <row r="31" spans="1:11" x14ac:dyDescent="0.3">
      <c r="C31" s="11" t="s">
        <v>214</v>
      </c>
      <c r="D31" s="35" t="s">
        <v>364</v>
      </c>
      <c r="G31" s="6" t="s">
        <v>217</v>
      </c>
      <c r="H31" s="2" t="s">
        <v>184</v>
      </c>
      <c r="I31" s="40" t="s">
        <v>41</v>
      </c>
      <c r="J31" s="40" t="s">
        <v>183</v>
      </c>
    </row>
    <row r="32" spans="1:11" x14ac:dyDescent="0.3">
      <c r="C32" s="11" t="s">
        <v>215</v>
      </c>
      <c r="D32" s="35"/>
      <c r="G32" s="6" t="s">
        <v>284</v>
      </c>
      <c r="H32" s="3" t="s">
        <v>369</v>
      </c>
      <c r="I32" s="41" t="s">
        <v>375</v>
      </c>
      <c r="J32" s="41"/>
    </row>
    <row r="33" spans="1:11" x14ac:dyDescent="0.3">
      <c r="C33" s="11" t="s">
        <v>216</v>
      </c>
      <c r="D33" s="35"/>
      <c r="H33" s="3" t="s">
        <v>368</v>
      </c>
      <c r="I33" s="41">
        <v>1.3440000000000001</v>
      </c>
      <c r="J33" s="41"/>
    </row>
    <row r="34" spans="1:11" x14ac:dyDescent="0.3">
      <c r="H34" s="3" t="s">
        <v>370</v>
      </c>
      <c r="I34" s="41">
        <v>1.34398</v>
      </c>
      <c r="J34" s="41"/>
    </row>
    <row r="35" spans="1:11" x14ac:dyDescent="0.3">
      <c r="A35" s="40">
        <v>4</v>
      </c>
      <c r="B35" s="2" t="s">
        <v>315</v>
      </c>
      <c r="H35" s="3" t="s">
        <v>185</v>
      </c>
      <c r="I35" s="41"/>
      <c r="J35" s="41"/>
      <c r="K35" s="2"/>
    </row>
    <row r="36" spans="1:11" x14ac:dyDescent="0.3">
      <c r="B36" s="6" t="s">
        <v>219</v>
      </c>
      <c r="D36" s="42" t="s">
        <v>299</v>
      </c>
      <c r="E36" s="42"/>
      <c r="F36" s="52"/>
      <c r="G36" s="3" t="s">
        <v>321</v>
      </c>
      <c r="H36" s="3" t="s">
        <v>186</v>
      </c>
      <c r="I36" s="41"/>
      <c r="J36" s="41"/>
      <c r="K36" s="6"/>
    </row>
    <row r="37" spans="1:11" x14ac:dyDescent="0.3">
      <c r="B37" s="6" t="s">
        <v>362</v>
      </c>
      <c r="C37" s="6" t="s">
        <v>88</v>
      </c>
      <c r="D37" s="38" t="s">
        <v>195</v>
      </c>
      <c r="E37" s="38" t="s">
        <v>196</v>
      </c>
      <c r="H37" s="3" t="s">
        <v>187</v>
      </c>
      <c r="I37" s="41"/>
      <c r="J37" s="41"/>
    </row>
    <row r="38" spans="1:11" s="2" customFormat="1" x14ac:dyDescent="0.3">
      <c r="A38" s="40"/>
      <c r="B38" s="6"/>
      <c r="C38" s="3" t="s">
        <v>192</v>
      </c>
      <c r="D38" s="35">
        <v>1.0569999999999999</v>
      </c>
      <c r="E38" s="35">
        <v>0</v>
      </c>
      <c r="F38" s="40"/>
      <c r="G38" s="3"/>
      <c r="H38" s="3" t="s">
        <v>188</v>
      </c>
      <c r="I38" s="41"/>
      <c r="J38" s="41"/>
      <c r="K38" s="3"/>
    </row>
    <row r="39" spans="1:11" s="6" customFormat="1" x14ac:dyDescent="0.3">
      <c r="A39" s="40"/>
      <c r="B39" s="3"/>
      <c r="C39" s="3" t="s">
        <v>193</v>
      </c>
      <c r="D39" s="35">
        <v>1.0569999999999999</v>
      </c>
      <c r="E39" s="35">
        <v>0</v>
      </c>
      <c r="F39" s="40"/>
      <c r="G39" s="3"/>
      <c r="H39" s="3" t="s">
        <v>189</v>
      </c>
      <c r="I39" s="41"/>
      <c r="J39" s="41"/>
      <c r="K39" s="3"/>
    </row>
    <row r="40" spans="1:11" x14ac:dyDescent="0.3">
      <c r="C40" s="3" t="s">
        <v>194</v>
      </c>
      <c r="D40" s="35">
        <v>4.2279999999999998</v>
      </c>
      <c r="E40" s="35">
        <v>0</v>
      </c>
      <c r="G40" s="1"/>
      <c r="H40" s="3" t="s">
        <v>190</v>
      </c>
      <c r="I40" s="41"/>
      <c r="J40" s="41"/>
    </row>
    <row r="41" spans="1:11" x14ac:dyDescent="0.3">
      <c r="C41" s="20" t="s">
        <v>241</v>
      </c>
      <c r="D41" s="39">
        <f>MAX(D38:D40)</f>
        <v>4.2279999999999998</v>
      </c>
      <c r="E41" s="10"/>
      <c r="G41" s="25"/>
      <c r="H41" s="3" t="s">
        <v>191</v>
      </c>
      <c r="I41" s="41"/>
      <c r="J41" s="41"/>
    </row>
    <row r="42" spans="1:11" x14ac:dyDescent="0.3">
      <c r="G42" s="25"/>
      <c r="H42" s="20" t="s">
        <v>230</v>
      </c>
      <c r="I42" s="39">
        <f>MAX(I32:I41)</f>
        <v>1.3440000000000001</v>
      </c>
      <c r="J42" s="39">
        <f>MAX(J32:J41)</f>
        <v>0</v>
      </c>
    </row>
    <row r="43" spans="1:11" x14ac:dyDescent="0.3">
      <c r="A43" s="40">
        <v>5</v>
      </c>
      <c r="B43" s="2" t="s">
        <v>314</v>
      </c>
      <c r="G43" s="25"/>
      <c r="H43" s="26"/>
      <c r="I43" s="26"/>
      <c r="J43" s="26"/>
    </row>
    <row r="44" spans="1:11" x14ac:dyDescent="0.3">
      <c r="B44" s="6" t="s">
        <v>301</v>
      </c>
      <c r="G44" s="20" t="s">
        <v>240</v>
      </c>
      <c r="H44" s="20">
        <v>1.3440000000000001</v>
      </c>
      <c r="I44" s="27"/>
    </row>
    <row r="45" spans="1:11" x14ac:dyDescent="0.3">
      <c r="B45" s="6"/>
      <c r="D45" s="42" t="s">
        <v>300</v>
      </c>
      <c r="E45" s="42"/>
      <c r="F45" s="52"/>
      <c r="I45" s="6"/>
      <c r="J45" s="6"/>
    </row>
    <row r="46" spans="1:11" ht="26" x14ac:dyDescent="0.3">
      <c r="B46" s="28" t="s">
        <v>91</v>
      </c>
      <c r="C46" s="28" t="s">
        <v>78</v>
      </c>
      <c r="D46" s="28" t="s">
        <v>253</v>
      </c>
      <c r="E46" s="28" t="s">
        <v>254</v>
      </c>
      <c r="G46" s="20" t="s">
        <v>255</v>
      </c>
      <c r="H46" s="29">
        <f>ROUND(((SUM(J7:J25))*H44),0)</f>
        <v>105063</v>
      </c>
      <c r="J46" s="3" t="s">
        <v>358</v>
      </c>
    </row>
    <row r="47" spans="1:11" x14ac:dyDescent="0.3">
      <c r="B47" s="10" t="s">
        <v>249</v>
      </c>
      <c r="C47" s="36">
        <v>3500</v>
      </c>
      <c r="D47" s="36">
        <v>2000</v>
      </c>
      <c r="E47" s="36">
        <v>6000</v>
      </c>
      <c r="G47" s="20" t="s">
        <v>256</v>
      </c>
      <c r="H47" s="30">
        <f>ROUND((H46*0.1),0)</f>
        <v>10506</v>
      </c>
      <c r="J47" s="3" t="s">
        <v>359</v>
      </c>
    </row>
    <row r="48" spans="1:11" x14ac:dyDescent="0.3">
      <c r="B48" s="10" t="s">
        <v>250</v>
      </c>
      <c r="C48" s="36">
        <v>4500</v>
      </c>
      <c r="D48" s="36">
        <v>2000</v>
      </c>
      <c r="E48" s="36">
        <v>6000</v>
      </c>
      <c r="G48" s="20"/>
      <c r="H48" s="29">
        <f>SUM(H46:H47)</f>
        <v>115569</v>
      </c>
      <c r="J48" s="3" t="s">
        <v>360</v>
      </c>
    </row>
    <row r="49" spans="1:10" x14ac:dyDescent="0.3">
      <c r="B49" s="10" t="s">
        <v>251</v>
      </c>
      <c r="C49" s="36">
        <v>5500</v>
      </c>
      <c r="D49" s="36">
        <v>2000</v>
      </c>
      <c r="E49" s="36">
        <v>7000</v>
      </c>
      <c r="G49" s="20" t="s">
        <v>257</v>
      </c>
      <c r="H49" s="20">
        <f>H48/100*D41</f>
        <v>4886.2573199999997</v>
      </c>
      <c r="J49" s="3" t="s">
        <v>361</v>
      </c>
    </row>
    <row r="50" spans="1:10" ht="13.5" thickBot="1" x14ac:dyDescent="0.35">
      <c r="B50" s="10" t="s">
        <v>252</v>
      </c>
      <c r="C50" s="36">
        <v>5500</v>
      </c>
      <c r="D50" s="36">
        <v>2000</v>
      </c>
      <c r="E50" s="36">
        <v>7000</v>
      </c>
      <c r="G50" s="20" t="s">
        <v>261</v>
      </c>
      <c r="H50" s="31">
        <f>SUM(H48:H49)</f>
        <v>120455.25732</v>
      </c>
    </row>
    <row r="51" spans="1:10" ht="13.5" thickTop="1" x14ac:dyDescent="0.3">
      <c r="B51" s="10" t="s">
        <v>94</v>
      </c>
      <c r="C51" s="36">
        <v>0</v>
      </c>
      <c r="D51" s="36">
        <v>0</v>
      </c>
      <c r="E51" s="36">
        <v>20500</v>
      </c>
    </row>
    <row r="52" spans="1:10" x14ac:dyDescent="0.3">
      <c r="E52" s="12"/>
    </row>
    <row r="54" spans="1:10" s="2" customFormat="1" x14ac:dyDescent="0.3">
      <c r="A54" s="40">
        <v>10</v>
      </c>
      <c r="B54" s="2" t="s">
        <v>313</v>
      </c>
      <c r="F54" s="40"/>
    </row>
    <row r="55" spans="1:10" x14ac:dyDescent="0.3">
      <c r="C55" s="3" t="s">
        <v>92</v>
      </c>
      <c r="D55" s="3" t="s">
        <v>93</v>
      </c>
      <c r="E55" s="3" t="s">
        <v>316</v>
      </c>
    </row>
    <row r="56" spans="1:10" x14ac:dyDescent="0.3">
      <c r="B56" s="3" t="s">
        <v>317</v>
      </c>
      <c r="C56" s="55" t="e">
        <f>#REF!</f>
        <v>#REF!</v>
      </c>
      <c r="D56" s="55">
        <f>E7</f>
        <v>46292</v>
      </c>
      <c r="E56" s="3" t="e">
        <f>ROUND(((D56-C56)/7),0)</f>
        <v>#REF!</v>
      </c>
    </row>
    <row r="57" spans="1:10" x14ac:dyDescent="0.3">
      <c r="B57" s="3" t="s">
        <v>318</v>
      </c>
      <c r="C57" s="55" t="e">
        <f>C56</f>
        <v>#REF!</v>
      </c>
      <c r="D57" s="55">
        <f>D11</f>
        <v>46234</v>
      </c>
      <c r="E57" s="3" t="e">
        <f>ROUND(((D57-C57)/7),0)</f>
        <v>#REF!</v>
      </c>
    </row>
  </sheetData>
  <sheetProtection algorithmName="SHA-512" hashValue="sSuruc3beUU7xvAFoZ0b755nUUrDqbtK52U1vH9JG1eRAG+rlZV2Bfe8EJte/i6dV0IKzungi8EXj3Q/m0XHjg==" saltValue="RMVI495gVcTrNBJ6kN7ccw==" spinCount="100000" sheet="1" selectLockedCells="1" selectUnlockedCells="1"/>
  <phoneticPr fontId="3" type="noConversion"/>
  <pageMargins left="0.75" right="0.75" top="1" bottom="1" header="0.5" footer="0.5"/>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2:I58"/>
  <sheetViews>
    <sheetView showGridLines="0" zoomScaleNormal="100" workbookViewId="0">
      <selection activeCell="B36" sqref="B36"/>
    </sheetView>
  </sheetViews>
  <sheetFormatPr defaultColWidth="9.1796875" defaultRowHeight="13" x14ac:dyDescent="0.3"/>
  <cols>
    <col min="1" max="1" width="29.26953125" style="94" customWidth="1"/>
    <col min="2" max="2" width="61.7265625" style="94" customWidth="1"/>
    <col min="3" max="16384" width="9.1796875" style="94"/>
  </cols>
  <sheetData>
    <row r="2" spans="1:9" ht="14.5" x14ac:dyDescent="0.35">
      <c r="A2" s="273" t="str">
        <f>'Cost of Attendance'!C15&amp;" "&amp;'Cost of Attendance'!C14</f>
        <v xml:space="preserve"> </v>
      </c>
      <c r="B2" s="274"/>
      <c r="C2" s="274"/>
      <c r="D2" s="274"/>
      <c r="E2" s="274"/>
      <c r="F2" s="274"/>
      <c r="G2" s="274"/>
      <c r="H2" s="275"/>
      <c r="I2" s="275"/>
    </row>
    <row r="3" spans="1:9" ht="14.5" x14ac:dyDescent="0.35">
      <c r="A3" s="276">
        <f>'Cost of Attendance'!C16</f>
        <v>0</v>
      </c>
      <c r="B3" s="274"/>
      <c r="C3" s="274"/>
      <c r="D3" s="274"/>
      <c r="E3" s="274"/>
      <c r="F3" s="274"/>
      <c r="G3" s="274"/>
      <c r="H3" s="275"/>
      <c r="I3" s="275"/>
    </row>
    <row r="4" spans="1:9" ht="14.5" x14ac:dyDescent="0.35">
      <c r="A4" s="276">
        <f>'Cost of Attendance'!C17</f>
        <v>0</v>
      </c>
      <c r="B4" s="274"/>
      <c r="C4" s="274"/>
      <c r="D4" s="274"/>
      <c r="E4" s="274"/>
      <c r="F4" s="274"/>
      <c r="G4" s="274"/>
      <c r="H4" s="275"/>
      <c r="I4" s="275"/>
    </row>
    <row r="5" spans="1:9" ht="14.5" x14ac:dyDescent="0.35">
      <c r="A5" s="276">
        <f>'Cost of Attendance'!C18</f>
        <v>0</v>
      </c>
      <c r="B5" s="274"/>
      <c r="C5" s="274"/>
      <c r="D5" s="274"/>
      <c r="E5" s="274"/>
      <c r="F5" s="274"/>
      <c r="G5" s="274"/>
      <c r="H5" s="275"/>
      <c r="I5" s="275"/>
    </row>
    <row r="6" spans="1:9" ht="14.5" x14ac:dyDescent="0.35">
      <c r="A6" s="276">
        <f>'Cost of Attendance'!C19</f>
        <v>0</v>
      </c>
      <c r="B6" s="274"/>
      <c r="C6" s="274"/>
      <c r="D6" s="274"/>
      <c r="E6" s="274"/>
      <c r="F6" s="274"/>
      <c r="G6" s="274"/>
      <c r="H6" s="275"/>
      <c r="I6" s="275"/>
    </row>
    <row r="7" spans="1:9" ht="14.5" x14ac:dyDescent="0.35">
      <c r="A7" s="276">
        <f>'Cost of Attendance'!C20</f>
        <v>0</v>
      </c>
      <c r="B7" s="274"/>
      <c r="C7" s="274"/>
      <c r="D7" s="274"/>
      <c r="E7" s="274"/>
      <c r="F7" s="274"/>
      <c r="G7" s="274"/>
      <c r="H7" s="275"/>
      <c r="I7" s="275"/>
    </row>
    <row r="8" spans="1:9" ht="14.5" x14ac:dyDescent="0.35">
      <c r="A8" s="274"/>
      <c r="B8" s="274"/>
      <c r="C8" s="274"/>
      <c r="D8" s="274"/>
      <c r="E8" s="274"/>
      <c r="F8" s="274"/>
      <c r="G8" s="274"/>
      <c r="H8" s="275"/>
      <c r="I8" s="275"/>
    </row>
    <row r="9" spans="1:9" ht="21" x14ac:dyDescent="0.5">
      <c r="A9" s="293" t="s">
        <v>99</v>
      </c>
      <c r="B9" s="274"/>
      <c r="C9" s="274"/>
      <c r="D9" s="274"/>
      <c r="E9" s="274"/>
      <c r="F9" s="274"/>
      <c r="G9" s="274"/>
      <c r="H9" s="275"/>
      <c r="I9" s="275"/>
    </row>
    <row r="10" spans="1:9" ht="21" x14ac:dyDescent="0.5">
      <c r="A10" s="294" t="str">
        <f>'Cost of Attendance'!C4</f>
        <v>for Academic Year 2025/26</v>
      </c>
      <c r="B10" s="274"/>
      <c r="C10" s="274"/>
      <c r="D10" s="274"/>
      <c r="E10" s="274"/>
      <c r="F10" s="274"/>
      <c r="G10" s="274"/>
      <c r="H10" s="275"/>
      <c r="I10" s="275"/>
    </row>
    <row r="11" spans="1:9" ht="14.5" x14ac:dyDescent="0.35">
      <c r="A11" s="274"/>
      <c r="B11" s="274"/>
      <c r="C11" s="274"/>
      <c r="D11" s="274"/>
      <c r="E11" s="274"/>
      <c r="F11" s="274"/>
      <c r="G11" s="274"/>
      <c r="H11" s="275"/>
      <c r="I11" s="275"/>
    </row>
    <row r="12" spans="1:9" ht="14.5" x14ac:dyDescent="0.35">
      <c r="A12" s="274"/>
      <c r="B12" s="274"/>
      <c r="C12" s="274"/>
      <c r="D12" s="274"/>
      <c r="E12" s="274"/>
      <c r="F12" s="274"/>
      <c r="G12" s="274"/>
      <c r="H12" s="275"/>
      <c r="I12" s="275"/>
    </row>
    <row r="13" spans="1:9" ht="14.5" x14ac:dyDescent="0.35">
      <c r="A13" s="274" t="s">
        <v>100</v>
      </c>
      <c r="B13" s="274"/>
      <c r="C13" s="274"/>
      <c r="D13" s="274"/>
      <c r="E13" s="274"/>
      <c r="F13" s="274"/>
      <c r="G13" s="274"/>
      <c r="H13" s="275"/>
      <c r="I13" s="275"/>
    </row>
    <row r="14" spans="1:9" ht="14.5" x14ac:dyDescent="0.35">
      <c r="A14" s="274"/>
      <c r="B14" s="274"/>
      <c r="C14" s="274"/>
      <c r="D14" s="274"/>
      <c r="E14" s="274"/>
      <c r="F14" s="274"/>
      <c r="G14" s="274"/>
      <c r="H14" s="275"/>
      <c r="I14" s="275"/>
    </row>
    <row r="15" spans="1:9" s="104" customFormat="1" ht="15.5" x14ac:dyDescent="0.35">
      <c r="A15" s="277" t="s">
        <v>101</v>
      </c>
      <c r="B15" s="278" t="str">
        <f>'Cost of Attendance'!C15&amp;" "&amp;'Cost of Attendance'!C14</f>
        <v xml:space="preserve"> </v>
      </c>
      <c r="C15" s="279"/>
      <c r="D15" s="279"/>
      <c r="E15" s="279"/>
      <c r="F15" s="279"/>
      <c r="G15" s="279"/>
      <c r="H15" s="280"/>
      <c r="I15" s="280"/>
    </row>
    <row r="16" spans="1:9" s="104" customFormat="1" ht="15.5" x14ac:dyDescent="0.35">
      <c r="A16" s="277" t="s">
        <v>279</v>
      </c>
      <c r="B16" s="281">
        <f>'Cost of Attendance'!C22</f>
        <v>0</v>
      </c>
      <c r="C16" s="279"/>
      <c r="D16" s="279"/>
      <c r="E16" s="279"/>
      <c r="F16" s="279"/>
      <c r="G16" s="279"/>
      <c r="H16" s="280"/>
      <c r="I16" s="280"/>
    </row>
    <row r="17" spans="1:9" s="104" customFormat="1" ht="15.5" x14ac:dyDescent="0.35">
      <c r="A17" s="277" t="s">
        <v>103</v>
      </c>
      <c r="B17" s="282">
        <f>'Cost of Attendance'!C24</f>
        <v>0</v>
      </c>
      <c r="C17" s="279"/>
      <c r="D17" s="279"/>
      <c r="E17" s="279"/>
      <c r="F17" s="279"/>
      <c r="G17" s="279"/>
      <c r="H17" s="280"/>
      <c r="I17" s="280"/>
    </row>
    <row r="18" spans="1:9" s="104" customFormat="1" ht="15.5" x14ac:dyDescent="0.35">
      <c r="A18" s="458" t="s">
        <v>331</v>
      </c>
      <c r="B18" s="459"/>
      <c r="C18" s="279"/>
      <c r="D18" s="279"/>
      <c r="E18" s="279"/>
      <c r="F18" s="279"/>
      <c r="G18" s="279"/>
      <c r="H18" s="280"/>
      <c r="I18" s="280"/>
    </row>
    <row r="19" spans="1:9" s="108" customFormat="1" ht="117" customHeight="1" x14ac:dyDescent="0.35">
      <c r="A19" s="456" t="s">
        <v>327</v>
      </c>
      <c r="B19" s="457"/>
      <c r="C19" s="274"/>
      <c r="D19" s="274"/>
      <c r="E19" s="274"/>
      <c r="F19" s="274"/>
      <c r="G19" s="274"/>
      <c r="H19" s="275"/>
      <c r="I19" s="275"/>
    </row>
    <row r="20" spans="1:9" s="108" customFormat="1" ht="15.5" x14ac:dyDescent="0.35">
      <c r="A20" s="274"/>
      <c r="B20" s="274"/>
      <c r="C20" s="274"/>
      <c r="D20" s="274"/>
      <c r="E20" s="274"/>
      <c r="F20" s="274"/>
      <c r="G20" s="274"/>
      <c r="H20" s="275"/>
      <c r="I20" s="275"/>
    </row>
    <row r="21" spans="1:9" s="108" customFormat="1" ht="15.5" x14ac:dyDescent="0.35">
      <c r="A21" s="274" t="s">
        <v>105</v>
      </c>
      <c r="B21" s="274"/>
      <c r="C21" s="274"/>
      <c r="D21" s="274"/>
      <c r="E21" s="274"/>
      <c r="F21" s="274"/>
      <c r="G21" s="274"/>
      <c r="H21" s="275"/>
      <c r="I21" s="275"/>
    </row>
    <row r="22" spans="1:9" s="104" customFormat="1" ht="15.5" x14ac:dyDescent="0.35">
      <c r="A22" s="283" t="s">
        <v>106</v>
      </c>
      <c r="B22" s="284">
        <f>IF(('Cost of Attendance'!D27="n"),'Cost of Attendance'!J15,'Cost of Attendance'!J13)</f>
        <v>45929</v>
      </c>
      <c r="C22" s="279"/>
      <c r="D22" s="279"/>
      <c r="E22" s="279"/>
      <c r="F22" s="279"/>
      <c r="G22" s="279"/>
      <c r="H22" s="280"/>
      <c r="I22" s="280"/>
    </row>
    <row r="23" spans="1:9" s="104" customFormat="1" ht="15.5" x14ac:dyDescent="0.35">
      <c r="A23" s="283" t="s">
        <v>107</v>
      </c>
      <c r="B23" s="284">
        <f>IF(('Cost of Attendance'!D27="n"),'Cost of Attendance'!J16,'Cost of Attendance'!J14)</f>
        <v>46292</v>
      </c>
      <c r="C23" s="279"/>
      <c r="D23" s="279"/>
      <c r="E23" s="279"/>
      <c r="F23" s="279"/>
      <c r="G23" s="279"/>
      <c r="H23" s="280"/>
      <c r="I23" s="280"/>
    </row>
    <row r="24" spans="1:9" ht="15.75" customHeight="1" x14ac:dyDescent="0.35">
      <c r="A24" s="274"/>
      <c r="B24" s="274"/>
      <c r="C24" s="274"/>
      <c r="D24" s="274"/>
      <c r="E24" s="274"/>
      <c r="F24" s="274"/>
      <c r="G24" s="274"/>
      <c r="H24" s="275"/>
      <c r="I24" s="275"/>
    </row>
    <row r="25" spans="1:9" ht="15.75" customHeight="1" x14ac:dyDescent="0.35">
      <c r="A25" s="274" t="s">
        <v>334</v>
      </c>
      <c r="B25" s="274"/>
      <c r="C25" s="274"/>
      <c r="D25" s="274"/>
      <c r="E25" s="274"/>
      <c r="F25" s="274"/>
      <c r="G25" s="274"/>
      <c r="H25" s="275"/>
      <c r="I25" s="275"/>
    </row>
    <row r="26" spans="1:9" s="108" customFormat="1" ht="15.75" customHeight="1" x14ac:dyDescent="0.35">
      <c r="A26" s="275" t="s">
        <v>243</v>
      </c>
      <c r="B26" s="274"/>
      <c r="C26" s="274"/>
      <c r="D26" s="274"/>
      <c r="E26" s="274"/>
      <c r="F26" s="274"/>
      <c r="G26" s="274"/>
      <c r="H26" s="275"/>
      <c r="I26" s="275"/>
    </row>
    <row r="27" spans="1:9" s="104" customFormat="1" ht="15.75" customHeight="1" x14ac:dyDescent="0.35">
      <c r="A27" s="285" t="s">
        <v>88</v>
      </c>
      <c r="B27" s="286" t="s">
        <v>108</v>
      </c>
      <c r="C27" s="279"/>
      <c r="D27" s="279"/>
      <c r="E27" s="279"/>
      <c r="F27" s="279"/>
      <c r="G27" s="279"/>
      <c r="H27" s="280"/>
      <c r="I27" s="280"/>
    </row>
    <row r="28" spans="1:9" s="104" customFormat="1" ht="15.75" customHeight="1" x14ac:dyDescent="0.35">
      <c r="A28" s="277" t="s">
        <v>109</v>
      </c>
      <c r="B28" s="287">
        <f>'Cost of Attendance'!E88</f>
        <v>0</v>
      </c>
      <c r="C28" s="279"/>
      <c r="D28" s="279"/>
      <c r="E28" s="279"/>
      <c r="F28" s="279"/>
      <c r="G28" s="279"/>
      <c r="H28" s="280"/>
      <c r="I28" s="280"/>
    </row>
    <row r="29" spans="1:9" s="104" customFormat="1" ht="15.75" customHeight="1" x14ac:dyDescent="0.35">
      <c r="A29" s="277" t="s">
        <v>110</v>
      </c>
      <c r="B29" s="287">
        <f>'Cost of Attendance'!E89</f>
        <v>0</v>
      </c>
      <c r="C29" s="279"/>
      <c r="D29" s="279"/>
      <c r="E29" s="279"/>
      <c r="F29" s="279"/>
      <c r="G29" s="279"/>
      <c r="H29" s="280"/>
      <c r="I29" s="280"/>
    </row>
    <row r="30" spans="1:9" s="104" customFormat="1" ht="15.75" customHeight="1" x14ac:dyDescent="0.35">
      <c r="A30" s="277" t="s">
        <v>111</v>
      </c>
      <c r="B30" s="287">
        <f>'Cost of Attendance'!E90</f>
        <v>0</v>
      </c>
      <c r="C30" s="279"/>
      <c r="D30" s="279"/>
      <c r="E30" s="279"/>
      <c r="F30" s="279"/>
      <c r="G30" s="279"/>
      <c r="H30" s="280"/>
      <c r="I30" s="280"/>
    </row>
    <row r="31" spans="1:9" s="104" customFormat="1" ht="15.75" customHeight="1" thickBot="1" x14ac:dyDescent="0.4">
      <c r="A31" s="288" t="s">
        <v>86</v>
      </c>
      <c r="B31" s="287">
        <f>'Cost of Attendance'!E91</f>
        <v>0</v>
      </c>
      <c r="C31" s="279"/>
      <c r="D31" s="279"/>
      <c r="E31" s="279"/>
      <c r="F31" s="279"/>
      <c r="G31" s="279"/>
      <c r="H31" s="280"/>
      <c r="I31" s="280"/>
    </row>
    <row r="32" spans="1:9" ht="15.75" customHeight="1" thickTop="1" x14ac:dyDescent="0.35">
      <c r="A32" s="274"/>
      <c r="B32" s="289"/>
      <c r="C32" s="274"/>
      <c r="D32" s="274"/>
      <c r="E32" s="274"/>
      <c r="F32" s="274"/>
      <c r="G32" s="274"/>
      <c r="H32" s="275"/>
      <c r="I32" s="275"/>
    </row>
    <row r="33" spans="1:9" s="108" customFormat="1" ht="15.75" customHeight="1" x14ac:dyDescent="0.35">
      <c r="A33" s="274" t="s">
        <v>112</v>
      </c>
      <c r="B33" s="289"/>
      <c r="C33" s="274"/>
      <c r="D33" s="274"/>
      <c r="E33" s="274"/>
      <c r="F33" s="274"/>
      <c r="G33" s="274"/>
      <c r="H33" s="275"/>
      <c r="I33" s="275"/>
    </row>
    <row r="34" spans="1:9" s="104" customFormat="1" ht="15.75" customHeight="1" x14ac:dyDescent="0.35">
      <c r="A34" s="284">
        <f>'Cost of Attendance'!M13</f>
        <v>45929</v>
      </c>
      <c r="B34" s="287">
        <f>'Cost of Attendance'!N13</f>
        <v>0</v>
      </c>
      <c r="C34" s="279"/>
      <c r="D34" s="279"/>
      <c r="E34" s="279"/>
      <c r="F34" s="279"/>
      <c r="G34" s="279"/>
      <c r="H34" s="280"/>
      <c r="I34" s="280"/>
    </row>
    <row r="35" spans="1:9" s="104" customFormat="1" ht="15.75" customHeight="1" x14ac:dyDescent="0.35">
      <c r="A35" s="284">
        <f>'Cost of Attendance'!M14</f>
        <v>46041</v>
      </c>
      <c r="B35" s="287">
        <f>'Cost of Attendance'!N14</f>
        <v>0</v>
      </c>
      <c r="C35" s="279"/>
      <c r="D35" s="279"/>
      <c r="E35" s="279"/>
      <c r="F35" s="279"/>
      <c r="G35" s="279"/>
      <c r="H35" s="280"/>
      <c r="I35" s="280"/>
    </row>
    <row r="36" spans="1:9" s="104" customFormat="1" ht="15.75" customHeight="1" x14ac:dyDescent="0.35">
      <c r="A36" s="284">
        <f>'Cost of Attendance'!M15</f>
        <v>46147</v>
      </c>
      <c r="B36" s="287">
        <f>'Cost of Attendance'!N15</f>
        <v>0</v>
      </c>
      <c r="C36" s="279"/>
      <c r="D36" s="279"/>
      <c r="E36" s="279"/>
      <c r="F36" s="279"/>
      <c r="G36" s="279"/>
      <c r="H36" s="280"/>
      <c r="I36" s="280"/>
    </row>
    <row r="37" spans="1:9" s="104" customFormat="1" ht="15.75" customHeight="1" x14ac:dyDescent="0.35">
      <c r="A37" s="284" t="str">
        <f>IF(('Cost of Attendance'!M16&gt;'Cost of Attendance'!J15),'Cost of Attendance'!M16,"")</f>
        <v/>
      </c>
      <c r="B37" s="287" t="str">
        <f>IF(('Cost of Attendance'!N16&gt;'Cost of Attendance'!K15),'Cost of Attendance'!N16,"")</f>
        <v/>
      </c>
      <c r="C37" s="279"/>
      <c r="D37" s="279"/>
      <c r="E37" s="279"/>
      <c r="F37" s="279"/>
      <c r="G37" s="279"/>
      <c r="H37" s="280"/>
      <c r="I37" s="280"/>
    </row>
    <row r="38" spans="1:9" s="104" customFormat="1" ht="15.75" customHeight="1" thickBot="1" x14ac:dyDescent="0.4">
      <c r="A38" s="290" t="s">
        <v>86</v>
      </c>
      <c r="B38" s="287">
        <f>SUM(B34:B37)</f>
        <v>0</v>
      </c>
      <c r="C38" s="279"/>
      <c r="D38" s="279"/>
      <c r="E38" s="279"/>
      <c r="F38" s="279"/>
      <c r="G38" s="279"/>
      <c r="H38" s="280"/>
      <c r="I38" s="280"/>
    </row>
    <row r="39" spans="1:9" ht="15" thickTop="1" x14ac:dyDescent="0.35">
      <c r="A39" s="274"/>
      <c r="B39" s="274"/>
      <c r="C39" s="274"/>
      <c r="D39" s="274"/>
      <c r="E39" s="274"/>
      <c r="F39" s="274"/>
      <c r="G39" s="274"/>
      <c r="H39" s="275"/>
      <c r="I39" s="275"/>
    </row>
    <row r="40" spans="1:9" s="108" customFormat="1" ht="15.5" x14ac:dyDescent="0.35">
      <c r="A40" s="274" t="s">
        <v>113</v>
      </c>
      <c r="B40" s="274"/>
      <c r="C40" s="274"/>
      <c r="D40" s="274"/>
      <c r="E40" s="274"/>
      <c r="F40" s="274"/>
      <c r="G40" s="274"/>
      <c r="H40" s="275"/>
      <c r="I40" s="275"/>
    </row>
    <row r="41" spans="1:9" s="108" customFormat="1" ht="15.5" x14ac:dyDescent="0.35">
      <c r="A41" s="274" t="s">
        <v>124</v>
      </c>
      <c r="B41" s="274"/>
      <c r="C41" s="274"/>
      <c r="D41" s="274"/>
      <c r="E41" s="274"/>
      <c r="F41" s="274"/>
      <c r="G41" s="274"/>
      <c r="H41" s="275"/>
      <c r="I41" s="275"/>
    </row>
    <row r="42" spans="1:9" s="108" customFormat="1" ht="15.5" x14ac:dyDescent="0.35">
      <c r="A42" s="274" t="s">
        <v>125</v>
      </c>
      <c r="B42" s="274"/>
      <c r="C42" s="274"/>
      <c r="D42" s="274"/>
      <c r="E42" s="274"/>
      <c r="F42" s="274"/>
      <c r="G42" s="274"/>
      <c r="H42" s="275"/>
      <c r="I42" s="275"/>
    </row>
    <row r="43" spans="1:9" s="108" customFormat="1" ht="15.5" x14ac:dyDescent="0.35">
      <c r="A43" s="275" t="s">
        <v>114</v>
      </c>
      <c r="B43" s="274"/>
      <c r="C43" s="274"/>
      <c r="D43" s="274"/>
      <c r="E43" s="274"/>
      <c r="F43" s="274"/>
      <c r="G43" s="274"/>
      <c r="H43" s="275"/>
      <c r="I43" s="275"/>
    </row>
    <row r="44" spans="1:9" s="108" customFormat="1" ht="15.5" x14ac:dyDescent="0.35">
      <c r="A44" s="274" t="str">
        <f>(IF(('School DATA'!D26&gt;0),'School DATA'!D26,""))&amp;"    "&amp;(IF(('School DATA'!D30&gt;0),'School DATA'!D30,""))</f>
        <v>CP    ME</v>
      </c>
      <c r="B44" s="274"/>
      <c r="C44" s="274"/>
      <c r="D44" s="274"/>
      <c r="E44" s="274"/>
      <c r="F44" s="274"/>
      <c r="G44" s="274"/>
      <c r="H44" s="275"/>
      <c r="I44" s="275"/>
    </row>
    <row r="45" spans="1:9" s="108" customFormat="1" ht="15.5" x14ac:dyDescent="0.35">
      <c r="A45" s="274" t="str">
        <f>(IF(('School DATA'!D27&gt;0),'School DATA'!D27,""))&amp;"    "&amp;(IF(('School DATA'!D31&gt;0),'School DATA'!D31,""))</f>
        <v>CW    GP</v>
      </c>
      <c r="B45" s="274"/>
      <c r="C45" s="274"/>
      <c r="D45" s="274"/>
      <c r="E45" s="274"/>
      <c r="F45" s="274"/>
      <c r="G45" s="274"/>
      <c r="H45" s="275"/>
      <c r="I45" s="275"/>
    </row>
    <row r="46" spans="1:9" s="108" customFormat="1" ht="15.5" x14ac:dyDescent="0.35">
      <c r="A46" s="274" t="str">
        <f>(IF(('School DATA'!D28&gt;0),'School DATA'!D28,""))&amp;"    "&amp;(IF(('School DATA'!D32&gt;0),'School DATA'!D32,""))</f>
        <v xml:space="preserve">DO    </v>
      </c>
      <c r="B46" s="274"/>
      <c r="C46" s="274"/>
      <c r="D46" s="274"/>
      <c r="E46" s="274"/>
      <c r="F46" s="274"/>
      <c r="G46" s="274"/>
      <c r="H46" s="275"/>
      <c r="I46" s="275"/>
    </row>
    <row r="47" spans="1:9" s="108" customFormat="1" ht="15.5" x14ac:dyDescent="0.35">
      <c r="A47" s="274" t="str">
        <f>(IF(('School DATA'!D29&gt;0),'School DATA'!D29,""))&amp;"    "&amp;(IF(('School DATA'!D33&gt;0),'School DATA'!D33,""))</f>
        <v xml:space="preserve">SD    </v>
      </c>
      <c r="B47" s="274"/>
      <c r="C47" s="274"/>
      <c r="D47" s="274"/>
      <c r="E47" s="274"/>
      <c r="F47" s="274"/>
      <c r="G47" s="274"/>
      <c r="H47" s="275"/>
      <c r="I47" s="275"/>
    </row>
    <row r="48" spans="1:9" s="108" customFormat="1" ht="15.5" x14ac:dyDescent="0.35">
      <c r="A48" s="275"/>
      <c r="B48" s="275"/>
      <c r="C48" s="274"/>
      <c r="D48" s="274"/>
      <c r="E48" s="274"/>
      <c r="F48" s="274"/>
      <c r="G48" s="274"/>
      <c r="H48" s="275"/>
      <c r="I48" s="275"/>
    </row>
    <row r="49" spans="1:9" s="108" customFormat="1" ht="15.5" x14ac:dyDescent="0.35">
      <c r="A49" s="274" t="s">
        <v>115</v>
      </c>
      <c r="B49" s="274"/>
      <c r="C49" s="274"/>
      <c r="D49" s="274"/>
      <c r="E49" s="274"/>
      <c r="F49" s="274"/>
      <c r="G49" s="274"/>
      <c r="H49" s="275"/>
      <c r="I49" s="275"/>
    </row>
    <row r="50" spans="1:9" s="108" customFormat="1" ht="15.5" x14ac:dyDescent="0.35">
      <c r="A50" s="275"/>
      <c r="B50" s="274"/>
      <c r="C50" s="274"/>
      <c r="D50" s="274"/>
      <c r="E50" s="274"/>
      <c r="F50" s="274"/>
      <c r="G50" s="274"/>
      <c r="H50" s="275"/>
      <c r="I50" s="275"/>
    </row>
    <row r="51" spans="1:9" s="108" customFormat="1" ht="15.5" x14ac:dyDescent="0.35">
      <c r="A51" s="275"/>
      <c r="B51" s="274"/>
      <c r="C51" s="274"/>
      <c r="D51" s="274"/>
      <c r="E51" s="274"/>
      <c r="F51" s="274"/>
      <c r="G51" s="274"/>
      <c r="H51" s="275"/>
      <c r="I51" s="275"/>
    </row>
    <row r="52" spans="1:9" ht="14.5" x14ac:dyDescent="0.35">
      <c r="A52" s="275" t="s">
        <v>123</v>
      </c>
      <c r="B52" s="291">
        <f ca="1">TODAY()</f>
        <v>45896</v>
      </c>
      <c r="C52" s="274"/>
      <c r="D52" s="274"/>
      <c r="E52" s="274"/>
      <c r="F52" s="274"/>
      <c r="G52" s="274"/>
      <c r="H52" s="275"/>
      <c r="I52" s="275"/>
    </row>
    <row r="53" spans="1:9" ht="14.5" x14ac:dyDescent="0.35">
      <c r="A53" s="274"/>
      <c r="B53" s="274"/>
      <c r="C53" s="274"/>
      <c r="D53" s="274"/>
      <c r="E53" s="274"/>
      <c r="F53" s="274"/>
      <c r="G53" s="274"/>
      <c r="H53" s="275"/>
      <c r="I53" s="275"/>
    </row>
    <row r="54" spans="1:9" ht="14.5" x14ac:dyDescent="0.35">
      <c r="A54" s="295" t="s">
        <v>333</v>
      </c>
      <c r="B54" s="274"/>
      <c r="C54" s="292"/>
      <c r="D54" s="292"/>
      <c r="E54" s="292"/>
      <c r="F54" s="274"/>
      <c r="G54" s="274"/>
      <c r="H54" s="275"/>
      <c r="I54" s="275"/>
    </row>
    <row r="55" spans="1:9" x14ac:dyDescent="0.3">
      <c r="A55" s="93"/>
      <c r="B55" s="93"/>
      <c r="C55" s="93"/>
      <c r="D55" s="93"/>
      <c r="E55" s="93"/>
      <c r="F55" s="93"/>
      <c r="G55" s="93"/>
    </row>
    <row r="56" spans="1:9" x14ac:dyDescent="0.3">
      <c r="C56" s="93"/>
      <c r="D56" s="93"/>
      <c r="E56" s="93"/>
      <c r="F56" s="93"/>
      <c r="G56" s="93"/>
    </row>
    <row r="57" spans="1:9" x14ac:dyDescent="0.3">
      <c r="C57" s="93"/>
      <c r="D57" s="93"/>
      <c r="E57" s="93"/>
      <c r="F57" s="93"/>
      <c r="G57" s="93"/>
    </row>
    <row r="58" spans="1:9" x14ac:dyDescent="0.3">
      <c r="C58" s="93"/>
      <c r="D58" s="93"/>
      <c r="E58" s="93"/>
      <c r="F58" s="93"/>
      <c r="G58" s="93"/>
    </row>
  </sheetData>
  <sheetProtection password="8B9F" sheet="1" selectLockedCells="1" selectUnlockedCells="1"/>
  <mergeCells count="2">
    <mergeCell ref="A19:B19"/>
    <mergeCell ref="A18:B18"/>
  </mergeCells>
  <phoneticPr fontId="3" type="noConversion"/>
  <pageMargins left="0.7" right="0.7" top="0.75" bottom="0.75" header="0.3" footer="0.3"/>
  <pageSetup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G58"/>
  <sheetViews>
    <sheetView showGridLines="0" zoomScale="75" zoomScaleNormal="75" zoomScaleSheetLayoutView="90" workbookViewId="0">
      <selection activeCell="D13" sqref="D13"/>
    </sheetView>
  </sheetViews>
  <sheetFormatPr defaultColWidth="9.1796875" defaultRowHeight="13" x14ac:dyDescent="0.3"/>
  <cols>
    <col min="1" max="1" width="29.26953125" style="94" customWidth="1"/>
    <col min="2" max="2" width="61.7265625" style="94" customWidth="1"/>
    <col min="3" max="16384" width="9.1796875" style="94"/>
  </cols>
  <sheetData>
    <row r="1" spans="1:7" ht="15.5" x14ac:dyDescent="0.35">
      <c r="A1" s="92" t="str">
        <f>'Cost of Attendance'!C15&amp;" "&amp;'Cost of Attendance'!C14</f>
        <v xml:space="preserve"> </v>
      </c>
      <c r="B1" s="93"/>
      <c r="C1" s="93"/>
      <c r="D1" s="93"/>
      <c r="E1" s="93"/>
      <c r="F1" s="93"/>
      <c r="G1" s="93"/>
    </row>
    <row r="2" spans="1:7" ht="15.5" x14ac:dyDescent="0.35">
      <c r="A2" s="95">
        <f>'Cost of Attendance'!C16</f>
        <v>0</v>
      </c>
      <c r="B2" s="93"/>
      <c r="C2" s="93"/>
      <c r="D2" s="93"/>
      <c r="E2" s="93"/>
      <c r="F2" s="93"/>
      <c r="G2" s="93"/>
    </row>
    <row r="3" spans="1:7" ht="15.5" x14ac:dyDescent="0.35">
      <c r="A3" s="95">
        <f>'Cost of Attendance'!C17</f>
        <v>0</v>
      </c>
      <c r="B3" s="93"/>
      <c r="C3" s="93"/>
      <c r="D3" s="93"/>
      <c r="E3" s="93"/>
      <c r="F3" s="93"/>
      <c r="G3" s="93"/>
    </row>
    <row r="4" spans="1:7" ht="15.5" x14ac:dyDescent="0.35">
      <c r="A4" s="95">
        <f>'Cost of Attendance'!C18</f>
        <v>0</v>
      </c>
      <c r="B4" s="93"/>
      <c r="C4" s="93"/>
      <c r="D4" s="93"/>
      <c r="E4" s="93"/>
      <c r="F4" s="93"/>
      <c r="G4" s="93"/>
    </row>
    <row r="5" spans="1:7" ht="15.5" x14ac:dyDescent="0.35">
      <c r="A5" s="95">
        <f>'Cost of Attendance'!C19</f>
        <v>0</v>
      </c>
      <c r="B5" s="93"/>
      <c r="C5" s="93"/>
      <c r="D5" s="93"/>
      <c r="E5" s="93"/>
      <c r="F5" s="93"/>
      <c r="G5" s="93"/>
    </row>
    <row r="6" spans="1:7" ht="15.5" x14ac:dyDescent="0.35">
      <c r="A6" s="95">
        <f>'Cost of Attendance'!C20</f>
        <v>0</v>
      </c>
      <c r="B6" s="93"/>
      <c r="C6" s="93"/>
      <c r="D6" s="93"/>
      <c r="E6" s="93"/>
      <c r="F6" s="93"/>
      <c r="G6" s="93"/>
    </row>
    <row r="7" spans="1:7" x14ac:dyDescent="0.3">
      <c r="A7" s="96"/>
      <c r="B7" s="93"/>
      <c r="C7" s="93"/>
      <c r="D7" s="93"/>
      <c r="E7" s="93"/>
      <c r="F7" s="93"/>
      <c r="G7" s="93"/>
    </row>
    <row r="8" spans="1:7" x14ac:dyDescent="0.3">
      <c r="A8" s="97"/>
      <c r="B8" s="93"/>
      <c r="C8" s="93"/>
      <c r="D8" s="93"/>
      <c r="E8" s="93"/>
      <c r="F8" s="93"/>
      <c r="G8" s="93"/>
    </row>
    <row r="9" spans="1:7" x14ac:dyDescent="0.3">
      <c r="B9" s="93"/>
      <c r="C9" s="93"/>
      <c r="D9" s="93"/>
      <c r="E9" s="93"/>
      <c r="F9" s="93"/>
      <c r="G9" s="93"/>
    </row>
    <row r="10" spans="1:7" x14ac:dyDescent="0.3">
      <c r="A10" s="93"/>
      <c r="B10" s="93"/>
      <c r="C10" s="93"/>
      <c r="D10" s="93"/>
      <c r="E10" s="93"/>
      <c r="F10" s="93"/>
      <c r="G10" s="93"/>
    </row>
    <row r="11" spans="1:7" ht="23.5" x14ac:dyDescent="0.55000000000000004">
      <c r="A11" s="98" t="s">
        <v>99</v>
      </c>
      <c r="B11" s="93"/>
      <c r="C11" s="93"/>
      <c r="D11" s="93"/>
      <c r="E11" s="93"/>
      <c r="F11" s="93"/>
      <c r="G11" s="93"/>
    </row>
    <row r="12" spans="1:7" ht="23.5" x14ac:dyDescent="0.55000000000000004">
      <c r="A12" s="99" t="str">
        <f>'Cost of Attendance'!C4</f>
        <v>for Academic Year 2025/26</v>
      </c>
      <c r="B12" s="93"/>
      <c r="C12" s="93"/>
      <c r="D12" s="93"/>
      <c r="E12" s="93"/>
      <c r="F12" s="93"/>
      <c r="G12" s="93"/>
    </row>
    <row r="13" spans="1:7" x14ac:dyDescent="0.3">
      <c r="A13" s="93"/>
      <c r="B13" s="93"/>
      <c r="C13" s="93"/>
      <c r="D13" s="93"/>
      <c r="E13" s="93"/>
      <c r="F13" s="93"/>
      <c r="G13" s="93"/>
    </row>
    <row r="14" spans="1:7" x14ac:dyDescent="0.3">
      <c r="A14" s="93"/>
      <c r="B14" s="93"/>
      <c r="C14" s="93"/>
      <c r="D14" s="93"/>
      <c r="E14" s="93"/>
      <c r="F14" s="93"/>
      <c r="G14" s="93"/>
    </row>
    <row r="15" spans="1:7" ht="18.5" x14ac:dyDescent="0.45">
      <c r="A15" s="100" t="s">
        <v>100</v>
      </c>
      <c r="B15" s="93"/>
      <c r="C15" s="93"/>
      <c r="D15" s="93"/>
      <c r="E15" s="93"/>
      <c r="F15" s="93"/>
      <c r="G15" s="93"/>
    </row>
    <row r="16" spans="1:7" x14ac:dyDescent="0.3">
      <c r="A16" s="93"/>
      <c r="B16" s="93"/>
      <c r="C16" s="93"/>
      <c r="D16" s="93"/>
      <c r="E16" s="93"/>
      <c r="F16" s="93"/>
      <c r="G16" s="93"/>
    </row>
    <row r="17" spans="1:7" s="104" customFormat="1" ht="15.5" x14ac:dyDescent="0.35">
      <c r="A17" s="101" t="s">
        <v>101</v>
      </c>
      <c r="B17" s="102" t="str">
        <f>'Cost of Attendance'!C15&amp;" "&amp;'Cost of Attendance'!C14</f>
        <v xml:space="preserve"> </v>
      </c>
      <c r="C17" s="103"/>
      <c r="D17" s="103"/>
      <c r="E17" s="103"/>
      <c r="F17" s="103"/>
      <c r="G17" s="103"/>
    </row>
    <row r="18" spans="1:7" s="104" customFormat="1" ht="15.5" x14ac:dyDescent="0.35">
      <c r="A18" s="101" t="s">
        <v>102</v>
      </c>
      <c r="B18" s="105">
        <f>'Cost of Attendance'!C22</f>
        <v>0</v>
      </c>
      <c r="C18" s="103"/>
      <c r="D18" s="103"/>
      <c r="E18" s="103"/>
      <c r="F18" s="103"/>
      <c r="G18" s="103"/>
    </row>
    <row r="19" spans="1:7" s="104" customFormat="1" ht="15.5" x14ac:dyDescent="0.35">
      <c r="A19" s="101" t="s">
        <v>103</v>
      </c>
      <c r="B19" s="106">
        <f>'Cost of Attendance'!C24</f>
        <v>0</v>
      </c>
      <c r="C19" s="103"/>
      <c r="D19" s="103"/>
      <c r="E19" s="103"/>
      <c r="F19" s="103"/>
      <c r="G19" s="103"/>
    </row>
    <row r="20" spans="1:7" x14ac:dyDescent="0.3">
      <c r="A20" s="93"/>
      <c r="B20" s="93"/>
      <c r="C20" s="93"/>
      <c r="D20" s="93"/>
      <c r="E20" s="93"/>
      <c r="F20" s="93"/>
      <c r="G20" s="93"/>
    </row>
    <row r="21" spans="1:7" s="108" customFormat="1" ht="15.5" x14ac:dyDescent="0.35">
      <c r="A21" s="107" t="s">
        <v>104</v>
      </c>
      <c r="B21" s="107"/>
      <c r="C21" s="107"/>
      <c r="D21" s="107"/>
      <c r="E21" s="107"/>
      <c r="F21" s="107"/>
      <c r="G21" s="107"/>
    </row>
    <row r="22" spans="1:7" s="108" customFormat="1" ht="15.5" x14ac:dyDescent="0.35">
      <c r="A22" s="107"/>
      <c r="B22" s="107"/>
      <c r="C22" s="107"/>
      <c r="D22" s="107"/>
      <c r="E22" s="107"/>
      <c r="F22" s="107"/>
      <c r="G22" s="107"/>
    </row>
    <row r="23" spans="1:7" s="108" customFormat="1" ht="15.5" x14ac:dyDescent="0.35">
      <c r="A23" s="109" t="s">
        <v>178</v>
      </c>
      <c r="B23" s="107"/>
      <c r="C23" s="107"/>
      <c r="D23" s="107"/>
      <c r="E23" s="107"/>
      <c r="F23" s="107"/>
      <c r="G23" s="107"/>
    </row>
    <row r="24" spans="1:7" s="108" customFormat="1" ht="15.5" x14ac:dyDescent="0.35">
      <c r="A24" s="107" t="s">
        <v>276</v>
      </c>
      <c r="B24" s="107"/>
      <c r="C24" s="107"/>
      <c r="D24" s="107"/>
      <c r="E24" s="107"/>
      <c r="F24" s="107"/>
      <c r="G24" s="107"/>
    </row>
    <row r="25" spans="1:7" s="108" customFormat="1" ht="15.5" x14ac:dyDescent="0.35">
      <c r="A25" s="107"/>
      <c r="B25" s="107"/>
      <c r="C25" s="107"/>
      <c r="D25" s="107"/>
      <c r="E25" s="107"/>
      <c r="F25" s="107"/>
      <c r="G25" s="107"/>
    </row>
    <row r="26" spans="1:7" s="108" customFormat="1" ht="15.5" x14ac:dyDescent="0.35">
      <c r="A26" s="107" t="s">
        <v>179</v>
      </c>
      <c r="B26" s="107"/>
      <c r="C26" s="107"/>
      <c r="D26" s="107"/>
      <c r="E26" s="107"/>
      <c r="F26" s="107"/>
      <c r="G26" s="107"/>
    </row>
    <row r="27" spans="1:7" s="104" customFormat="1" ht="15.5" x14ac:dyDescent="0.35">
      <c r="A27" s="110" t="s">
        <v>106</v>
      </c>
      <c r="B27" s="111">
        <f>IF(('Cost of Attendance'!D27="n"),'Cost of Attendance'!J15,'Cost of Attendance'!J13)</f>
        <v>45929</v>
      </c>
      <c r="C27" s="103"/>
      <c r="D27" s="103"/>
      <c r="E27" s="103"/>
      <c r="F27" s="103"/>
      <c r="G27" s="103"/>
    </row>
    <row r="28" spans="1:7" s="104" customFormat="1" ht="15.5" x14ac:dyDescent="0.35">
      <c r="A28" s="110" t="s">
        <v>107</v>
      </c>
      <c r="B28" s="111">
        <f>IF(('Cost of Attendance'!D27="n"),'Cost of Attendance'!J16,'Cost of Attendance'!J14)</f>
        <v>46292</v>
      </c>
      <c r="C28" s="103"/>
      <c r="D28" s="103"/>
      <c r="E28" s="103"/>
      <c r="F28" s="103"/>
      <c r="G28" s="103"/>
    </row>
    <row r="29" spans="1:7" x14ac:dyDescent="0.3">
      <c r="A29" s="93"/>
      <c r="B29" s="93"/>
      <c r="C29" s="93"/>
      <c r="D29" s="93"/>
      <c r="E29" s="93"/>
      <c r="F29" s="93"/>
      <c r="G29" s="93"/>
    </row>
    <row r="30" spans="1:7" ht="15.5" x14ac:dyDescent="0.35">
      <c r="A30" s="107" t="s">
        <v>275</v>
      </c>
      <c r="B30" s="93"/>
      <c r="C30" s="93"/>
      <c r="D30" s="93"/>
      <c r="E30" s="93"/>
      <c r="F30" s="93"/>
      <c r="G30" s="93"/>
    </row>
    <row r="31" spans="1:7" s="104" customFormat="1" ht="16" thickBot="1" x14ac:dyDescent="0.4">
      <c r="A31" s="113" t="s">
        <v>180</v>
      </c>
      <c r="B31" s="112">
        <f>'Cost of Attendance'!E91</f>
        <v>0</v>
      </c>
      <c r="C31" s="103"/>
      <c r="D31" s="103"/>
      <c r="E31" s="103"/>
      <c r="F31" s="103"/>
      <c r="G31" s="103"/>
    </row>
    <row r="32" spans="1:7" ht="13.5" thickTop="1" x14ac:dyDescent="0.3">
      <c r="A32" s="93"/>
      <c r="B32" s="116"/>
      <c r="C32" s="93"/>
      <c r="D32" s="93"/>
      <c r="E32" s="93"/>
      <c r="F32" s="93"/>
      <c r="G32" s="93"/>
    </row>
    <row r="33" spans="1:7" ht="15.5" x14ac:dyDescent="0.35">
      <c r="A33" s="107" t="s">
        <v>112</v>
      </c>
      <c r="B33" s="116"/>
      <c r="C33" s="93"/>
      <c r="D33" s="93"/>
      <c r="E33" s="93"/>
      <c r="F33" s="93"/>
      <c r="G33" s="93"/>
    </row>
    <row r="34" spans="1:7" s="104" customFormat="1" ht="15.5" x14ac:dyDescent="0.35">
      <c r="A34" s="111">
        <f>'Cost of Attendance'!M13</f>
        <v>45929</v>
      </c>
      <c r="B34" s="112">
        <f>B31</f>
        <v>0</v>
      </c>
      <c r="C34" s="103"/>
      <c r="D34" s="103"/>
      <c r="E34" s="103"/>
      <c r="F34" s="103"/>
      <c r="G34" s="103"/>
    </row>
    <row r="35" spans="1:7" s="104" customFormat="1" ht="15.5" x14ac:dyDescent="0.35">
      <c r="A35" s="111"/>
      <c r="B35" s="112"/>
      <c r="C35" s="103"/>
      <c r="D35" s="103"/>
      <c r="E35" s="103"/>
      <c r="F35" s="103"/>
      <c r="G35" s="103"/>
    </row>
    <row r="36" spans="1:7" s="104" customFormat="1" ht="15.5" x14ac:dyDescent="0.35">
      <c r="A36" s="111"/>
      <c r="B36" s="112"/>
      <c r="C36" s="103"/>
      <c r="D36" s="103"/>
      <c r="E36" s="103"/>
      <c r="F36" s="103"/>
      <c r="G36" s="103"/>
    </row>
    <row r="37" spans="1:7" s="104" customFormat="1" ht="15.5" x14ac:dyDescent="0.35">
      <c r="A37" s="111"/>
      <c r="B37" s="112"/>
      <c r="C37" s="103"/>
      <c r="D37" s="103"/>
      <c r="E37" s="103"/>
      <c r="F37" s="103"/>
      <c r="G37" s="103"/>
    </row>
    <row r="38" spans="1:7" s="104" customFormat="1" ht="16" thickBot="1" x14ac:dyDescent="0.4">
      <c r="A38" s="114" t="s">
        <v>86</v>
      </c>
      <c r="B38" s="112">
        <f>SUM(B34:B37)</f>
        <v>0</v>
      </c>
      <c r="C38" s="103"/>
      <c r="D38" s="103"/>
      <c r="E38" s="103"/>
      <c r="F38" s="103"/>
      <c r="G38" s="103"/>
    </row>
    <row r="39" spans="1:7" ht="13.5" thickTop="1" x14ac:dyDescent="0.3">
      <c r="A39" s="93"/>
      <c r="B39" s="93"/>
      <c r="C39" s="93"/>
      <c r="D39" s="93"/>
      <c r="E39" s="93"/>
      <c r="F39" s="93"/>
      <c r="G39" s="93"/>
    </row>
    <row r="40" spans="1:7" s="108" customFormat="1" ht="15.5" x14ac:dyDescent="0.35">
      <c r="A40" s="107" t="s">
        <v>113</v>
      </c>
      <c r="B40" s="107"/>
      <c r="C40" s="107"/>
      <c r="D40" s="107"/>
      <c r="E40" s="107"/>
      <c r="F40" s="107"/>
      <c r="G40" s="107"/>
    </row>
    <row r="41" spans="1:7" s="108" customFormat="1" ht="15.5" x14ac:dyDescent="0.35">
      <c r="A41" s="107" t="s">
        <v>124</v>
      </c>
      <c r="B41" s="107"/>
      <c r="C41" s="107"/>
      <c r="D41" s="107"/>
      <c r="E41" s="107"/>
      <c r="F41" s="107"/>
      <c r="G41" s="107"/>
    </row>
    <row r="42" spans="1:7" s="108" customFormat="1" ht="15.5" x14ac:dyDescent="0.35">
      <c r="A42" s="107" t="s">
        <v>125</v>
      </c>
      <c r="B42" s="107"/>
      <c r="C42" s="107"/>
      <c r="D42" s="107"/>
      <c r="E42" s="107"/>
      <c r="F42" s="107"/>
      <c r="G42" s="107"/>
    </row>
    <row r="43" spans="1:7" s="108" customFormat="1" ht="15.5" x14ac:dyDescent="0.35">
      <c r="A43" s="108" t="s">
        <v>114</v>
      </c>
      <c r="B43" s="107"/>
      <c r="C43" s="107"/>
      <c r="D43" s="107"/>
      <c r="E43" s="107"/>
      <c r="F43" s="107"/>
      <c r="G43" s="107"/>
    </row>
    <row r="44" spans="1:7" s="108" customFormat="1" ht="15.5" x14ac:dyDescent="0.35">
      <c r="A44" s="107" t="str">
        <f>(IF(('School DATA'!D26&gt;0),'School DATA'!D26,""))&amp;"    "&amp;(IF(('School DATA'!D30&gt;0),'School DATA'!D30,""))</f>
        <v>CP    ME</v>
      </c>
      <c r="B44" s="107"/>
      <c r="C44" s="107"/>
      <c r="D44" s="107"/>
      <c r="E44" s="107"/>
      <c r="F44" s="107"/>
      <c r="G44" s="107"/>
    </row>
    <row r="45" spans="1:7" s="108" customFormat="1" ht="15.5" x14ac:dyDescent="0.35">
      <c r="A45" s="107" t="str">
        <f>(IF(('School DATA'!D27&gt;0),'School DATA'!D27,""))&amp;"    "&amp;(IF(('School DATA'!D31&gt;0),'School DATA'!D31,""))</f>
        <v>CW    GP</v>
      </c>
      <c r="B45" s="107"/>
      <c r="C45" s="107"/>
      <c r="D45" s="107"/>
      <c r="E45" s="107"/>
      <c r="F45" s="107"/>
      <c r="G45" s="107"/>
    </row>
    <row r="46" spans="1:7" s="108" customFormat="1" ht="15.5" x14ac:dyDescent="0.35">
      <c r="A46" s="107" t="str">
        <f>(IF(('School DATA'!D28&gt;0),'School DATA'!D28,""))&amp;"    "&amp;(IF(('School DATA'!D32&gt;0),'School DATA'!D32,""))</f>
        <v xml:space="preserve">DO    </v>
      </c>
      <c r="B46" s="107"/>
      <c r="C46" s="107"/>
      <c r="D46" s="107"/>
      <c r="E46" s="107"/>
      <c r="F46" s="107"/>
      <c r="G46" s="107"/>
    </row>
    <row r="47" spans="1:7" s="108" customFormat="1" ht="15.5" x14ac:dyDescent="0.35">
      <c r="A47" s="107" t="str">
        <f>(IF(('School DATA'!D29&gt;0),'School DATA'!D29,""))&amp;"    "&amp;(IF(('School DATA'!D33&gt;0),'School DATA'!D33,""))</f>
        <v xml:space="preserve">SD    </v>
      </c>
      <c r="B47" s="107"/>
      <c r="C47" s="107"/>
      <c r="D47" s="107"/>
      <c r="E47" s="107"/>
      <c r="F47" s="107"/>
      <c r="G47" s="107"/>
    </row>
    <row r="48" spans="1:7" s="108" customFormat="1" ht="15.5" x14ac:dyDescent="0.35">
      <c r="C48" s="107"/>
      <c r="D48" s="107"/>
      <c r="E48" s="107"/>
      <c r="F48" s="107"/>
      <c r="G48" s="107"/>
    </row>
    <row r="49" spans="1:7" s="108" customFormat="1" ht="15.5" x14ac:dyDescent="0.35">
      <c r="A49" s="107" t="s">
        <v>115</v>
      </c>
      <c r="B49" s="107"/>
      <c r="C49" s="107"/>
      <c r="D49" s="107"/>
      <c r="E49" s="107"/>
      <c r="F49" s="107"/>
      <c r="G49" s="107"/>
    </row>
    <row r="50" spans="1:7" s="108" customFormat="1" ht="15.5" x14ac:dyDescent="0.35">
      <c r="B50" s="107"/>
      <c r="C50" s="107"/>
      <c r="D50" s="107"/>
      <c r="E50" s="107"/>
      <c r="F50" s="107"/>
      <c r="G50" s="107"/>
    </row>
    <row r="51" spans="1:7" s="108" customFormat="1" ht="15.5" x14ac:dyDescent="0.35">
      <c r="B51" s="107"/>
      <c r="C51" s="107"/>
      <c r="D51" s="107"/>
      <c r="E51" s="107"/>
      <c r="F51" s="107"/>
      <c r="G51" s="107"/>
    </row>
    <row r="52" spans="1:7" ht="15.5" x14ac:dyDescent="0.35">
      <c r="A52" s="108" t="s">
        <v>123</v>
      </c>
      <c r="B52" s="115">
        <f ca="1">TODAY()</f>
        <v>45896</v>
      </c>
      <c r="C52" s="93"/>
      <c r="D52" s="93"/>
      <c r="E52" s="93"/>
      <c r="F52" s="93"/>
      <c r="G52" s="93"/>
    </row>
    <row r="53" spans="1:7" ht="15.5" x14ac:dyDescent="0.35">
      <c r="A53" s="107"/>
      <c r="B53" s="93"/>
      <c r="C53" s="93"/>
      <c r="D53" s="93"/>
      <c r="E53" s="93"/>
      <c r="F53" s="93"/>
      <c r="G53" s="93"/>
    </row>
    <row r="54" spans="1:7" ht="15.5" x14ac:dyDescent="0.35">
      <c r="A54" s="107"/>
      <c r="B54" s="93"/>
      <c r="C54" s="93"/>
      <c r="D54" s="93"/>
      <c r="E54" s="93"/>
      <c r="F54" s="93"/>
      <c r="G54" s="93"/>
    </row>
    <row r="55" spans="1:7" ht="15.5" x14ac:dyDescent="0.35">
      <c r="A55" s="107"/>
      <c r="B55" s="93"/>
      <c r="C55" s="93"/>
      <c r="D55" s="93"/>
      <c r="E55" s="93"/>
      <c r="F55" s="93"/>
      <c r="G55" s="93"/>
    </row>
    <row r="56" spans="1:7" ht="15.5" x14ac:dyDescent="0.35">
      <c r="A56" s="107"/>
      <c r="B56" s="93"/>
      <c r="C56" s="93"/>
      <c r="D56" s="93"/>
      <c r="E56" s="93"/>
      <c r="F56" s="93"/>
      <c r="G56" s="93"/>
    </row>
    <row r="57" spans="1:7" ht="15.5" x14ac:dyDescent="0.35">
      <c r="A57" s="107"/>
      <c r="B57" s="93"/>
      <c r="C57" s="93"/>
      <c r="D57" s="93"/>
      <c r="E57" s="93"/>
      <c r="F57" s="93"/>
      <c r="G57" s="93"/>
    </row>
    <row r="58" spans="1:7" x14ac:dyDescent="0.3">
      <c r="A58" s="93"/>
      <c r="B58" s="93"/>
      <c r="C58" s="93"/>
      <c r="D58" s="93"/>
      <c r="E58" s="93"/>
      <c r="F58" s="93"/>
      <c r="G58" s="93"/>
    </row>
  </sheetData>
  <sheetProtection password="DFD0" sheet="1" objects="1" scenarios="1" selectLockedCells="1"/>
  <phoneticPr fontId="3" type="noConversion"/>
  <pageMargins left="0.7" right="0.7" top="0.75" bottom="0.75" header="0.3" footer="0.3"/>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6C6FD1F4A87D4F931711E6ADE62A59" ma:contentTypeVersion="10" ma:contentTypeDescription="Create a new document." ma:contentTypeScope="" ma:versionID="3e928270dfbe12b0068b1f00dda3e026">
  <xsd:schema xmlns:xsd="http://www.w3.org/2001/XMLSchema" xmlns:xs="http://www.w3.org/2001/XMLSchema" xmlns:p="http://schemas.microsoft.com/office/2006/metadata/properties" xmlns:ns2="579219ff-c5cd-4838-9df8-5f898a88cd35" targetNamespace="http://schemas.microsoft.com/office/2006/metadata/properties" ma:root="true" ma:fieldsID="2e8306d6b93328d03efd7e2161390e03" ns2:_="">
    <xsd:import namespace="579219ff-c5cd-4838-9df8-5f898a88c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19ff-c5cd-4838-9df8-5f898a88c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2A2527-2F15-4B49-9E93-900E3DE37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19ff-c5cd-4838-9df8-5f898a88c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C3EAE-4A08-4DEE-A752-35CE38E6ADFC}">
  <ds:schemaRefs>
    <ds:schemaRef ds:uri="http://schemas.microsoft.com/sharepoint/v3/contenttype/forms"/>
  </ds:schemaRefs>
</ds:datastoreItem>
</file>

<file path=customXml/itemProps3.xml><?xml version="1.0" encoding="utf-8"?>
<ds:datastoreItem xmlns:ds="http://schemas.openxmlformats.org/officeDocument/2006/customXml" ds:itemID="{9474A8F0-C609-46D4-ACFE-5C2A9585F4CE}">
  <ds:schemaRefs>
    <ds:schemaRef ds:uri="http://schemas.microsoft.com/office/2006/metadata/properties"/>
    <ds:schemaRef ds:uri="http://purl.org/dc/dcmitype/"/>
    <ds:schemaRef ds:uri="579219ff-c5cd-4838-9df8-5f898a88cd35"/>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Home</vt:lpstr>
      <vt:lpstr>Introduction</vt:lpstr>
      <vt:lpstr>Basis of Costs</vt:lpstr>
      <vt:lpstr>Cost of Attendance</vt:lpstr>
      <vt:lpstr>School DATA</vt:lpstr>
      <vt:lpstr>Visa Letter (Office use only)</vt:lpstr>
      <vt:lpstr>Private (Office use only)</vt:lpstr>
      <vt:lpstr>'Cost of Attendance'!Print_Area</vt:lpstr>
      <vt:lpstr>'Private (Office use only)'!Print_Area</vt:lpstr>
      <vt:lpstr>'Visa Letter (Office use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Ruane,G</dc:creator>
  <cp:lastModifiedBy>Glenn Ruane</cp:lastModifiedBy>
  <cp:lastPrinted>2021-06-23T16:27:48Z</cp:lastPrinted>
  <dcterms:created xsi:type="dcterms:W3CDTF">2009-04-02T10:59:38Z</dcterms:created>
  <dcterms:modified xsi:type="dcterms:W3CDTF">2025-08-27T13:37:13Z</dcterms:modified>
</cp:coreProperties>
</file>