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lsecloud.sharepoint.com/sites/HR-Information-Systems/Shared Documents/General/Systems/iTrent/Annual Leave 2024/"/>
    </mc:Choice>
  </mc:AlternateContent>
  <xr:revisionPtr revIDLastSave="1696" documentId="13_ncr:1_{FDFD49E1-300E-4510-B84E-A15FE33C5408}" xr6:coauthVersionLast="47" xr6:coauthVersionMax="47" xr10:uidLastSave="{EF7AA0E2-834B-45A8-8CBC-08E958DEA045}"/>
  <bookViews>
    <workbookView xWindow="-28920" yWindow="-120" windowWidth="29040" windowHeight="15720" xr2:uid="{00000000-000D-0000-FFFF-FFFF00000000}"/>
  </bookViews>
  <sheets>
    <sheet name="Calculator" sheetId="3" r:id="rId1"/>
    <sheet name="Data" sheetId="2" state="hidden" r:id="rId2"/>
  </sheets>
  <definedNames>
    <definedName name="Grade">Data!$A$2:$A$2</definedName>
    <definedName name="Grades">Data!$A$2:$A$2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0" i="3" l="1"/>
  <c r="D23" i="3" s="1"/>
  <c r="H6" i="3"/>
  <c r="B2" i="2" l="1"/>
  <c r="L21" i="3" l="1"/>
  <c r="K21" i="3" s="1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B5" i="2"/>
  <c r="A5" i="2"/>
  <c r="F2" i="2"/>
  <c r="F56" i="3"/>
  <c r="E56" i="3"/>
  <c r="D56" i="3"/>
  <c r="F55" i="3"/>
  <c r="E55" i="3"/>
  <c r="D55" i="3"/>
  <c r="F54" i="3"/>
  <c r="E54" i="3"/>
  <c r="D54" i="3"/>
  <c r="G53" i="3"/>
  <c r="F53" i="3"/>
  <c r="E53" i="3"/>
  <c r="D53" i="3"/>
  <c r="G52" i="3"/>
  <c r="F52" i="3"/>
  <c r="E52" i="3"/>
  <c r="D52" i="3"/>
  <c r="F51" i="3"/>
  <c r="E51" i="3"/>
  <c r="D51" i="3"/>
  <c r="F50" i="3"/>
  <c r="E50" i="3"/>
  <c r="D50" i="3"/>
  <c r="G49" i="3"/>
  <c r="F49" i="3"/>
  <c r="E49" i="3"/>
  <c r="D49" i="3"/>
  <c r="G48" i="3"/>
  <c r="F48" i="3"/>
  <c r="E48" i="3"/>
  <c r="D48" i="3"/>
  <c r="G47" i="3"/>
  <c r="F47" i="3"/>
  <c r="E47" i="3"/>
  <c r="D47" i="3"/>
  <c r="G46" i="3"/>
  <c r="F46" i="3"/>
  <c r="E46" i="3"/>
  <c r="D46" i="3"/>
  <c r="G45" i="3"/>
  <c r="F45" i="3"/>
  <c r="E45" i="3"/>
  <c r="D45" i="3"/>
  <c r="F44" i="3"/>
  <c r="E44" i="3"/>
  <c r="D44" i="3"/>
  <c r="G43" i="3"/>
  <c r="F43" i="3"/>
  <c r="E43" i="3"/>
  <c r="D43" i="3"/>
  <c r="F42" i="3"/>
  <c r="E42" i="3"/>
  <c r="D42" i="3"/>
  <c r="G41" i="3"/>
  <c r="F41" i="3"/>
  <c r="E41" i="3"/>
  <c r="D41" i="3"/>
  <c r="H27" i="3"/>
  <c r="I27" i="3" s="1"/>
  <c r="J22" i="3"/>
  <c r="I22" i="3"/>
  <c r="H22" i="3"/>
  <c r="G22" i="3"/>
  <c r="F22" i="3"/>
  <c r="E22" i="3"/>
  <c r="D22" i="3"/>
  <c r="E12" i="3"/>
  <c r="E11" i="3"/>
  <c r="H11" i="3" s="1"/>
  <c r="I54" i="3" l="1"/>
  <c r="I48" i="3"/>
  <c r="I56" i="3"/>
  <c r="I41" i="3"/>
  <c r="I49" i="3"/>
  <c r="I42" i="3"/>
  <c r="I50" i="3"/>
  <c r="I43" i="3"/>
  <c r="I51" i="3"/>
  <c r="I47" i="3"/>
  <c r="I55" i="3"/>
  <c r="I52" i="3"/>
  <c r="I45" i="3"/>
  <c r="I53" i="3"/>
  <c r="I46" i="3"/>
  <c r="C6" i="3"/>
  <c r="B22" i="2"/>
  <c r="C22" i="2" s="1"/>
  <c r="B23" i="2"/>
  <c r="C23" i="2" s="1"/>
  <c r="B19" i="2"/>
  <c r="C19" i="2" s="1"/>
  <c r="B20" i="2"/>
  <c r="C20" i="2" s="1"/>
  <c r="B21" i="2"/>
  <c r="C21" i="2" s="1"/>
  <c r="G22" i="2" l="1"/>
  <c r="H22" i="2" s="1"/>
  <c r="I22" i="2" s="1"/>
  <c r="H55" i="3" s="1"/>
  <c r="G23" i="2"/>
  <c r="H23" i="2" s="1"/>
  <c r="I23" i="2" s="1"/>
  <c r="H56" i="3" s="1"/>
  <c r="G19" i="2"/>
  <c r="H19" i="2" s="1"/>
  <c r="I19" i="2" s="1"/>
  <c r="H52" i="3" s="1"/>
  <c r="G20" i="2"/>
  <c r="H20" i="2" s="1"/>
  <c r="I20" i="2" s="1"/>
  <c r="H53" i="3" s="1"/>
  <c r="G21" i="2"/>
  <c r="H21" i="2" s="1"/>
  <c r="I21" i="2" s="1"/>
  <c r="H54" i="3" s="1"/>
  <c r="B8" i="2"/>
  <c r="C8" i="2" s="1"/>
  <c r="B9" i="2" l="1"/>
  <c r="C9" i="2" s="1"/>
  <c r="C5" i="2" l="1"/>
  <c r="D5" i="2" s="1"/>
  <c r="O26" i="3" s="1"/>
  <c r="H26" i="3" s="1"/>
  <c r="I26" i="3" s="1"/>
  <c r="G8" i="2"/>
  <c r="H8" i="2" s="1"/>
  <c r="I8" i="2" s="1"/>
  <c r="H41" i="3" s="1"/>
  <c r="G9" i="2"/>
  <c r="H9" i="2" s="1"/>
  <c r="I9" i="2" s="1"/>
  <c r="H42" i="3" s="1"/>
  <c r="O28" i="3" l="1"/>
  <c r="H28" i="3" s="1"/>
  <c r="B15" i="2"/>
  <c r="C15" i="2" s="1"/>
  <c r="B14" i="2"/>
  <c r="P28" i="3" l="1"/>
  <c r="I28" i="3" s="1"/>
  <c r="C14" i="2"/>
  <c r="G14" i="2" l="1"/>
  <c r="H14" i="2" s="1"/>
  <c r="I14" i="2" s="1"/>
  <c r="H47" i="3" s="1"/>
  <c r="G15" i="2"/>
  <c r="H15" i="2" s="1"/>
  <c r="I15" i="2" s="1"/>
  <c r="H48" i="3" s="1"/>
  <c r="B17" i="2"/>
  <c r="B16" i="2"/>
  <c r="C16" i="2" l="1"/>
  <c r="C17" i="2"/>
  <c r="G16" i="2" l="1"/>
  <c r="H16" i="2" s="1"/>
  <c r="G17" i="2"/>
  <c r="H17" i="2" s="1"/>
  <c r="I17" i="2" l="1"/>
  <c r="H50" i="3" s="1"/>
  <c r="I16" i="2"/>
  <c r="H49" i="3" s="1"/>
  <c r="B13" i="2"/>
  <c r="C13" i="2" l="1"/>
  <c r="G13" i="2" l="1"/>
  <c r="H13" i="2" s="1"/>
  <c r="I13" i="2" s="1"/>
  <c r="H46" i="3" s="1"/>
  <c r="B11" i="2"/>
  <c r="B12" i="2"/>
  <c r="B18" i="2"/>
  <c r="D2" i="2"/>
  <c r="B10" i="2"/>
  <c r="C18" i="2" l="1"/>
  <c r="C10" i="2"/>
  <c r="C12" i="2"/>
  <c r="C11" i="2"/>
  <c r="G10" i="2"/>
  <c r="H10" i="2" s="1"/>
  <c r="G12" i="2"/>
  <c r="H12" i="2" s="1"/>
  <c r="G18" i="2"/>
  <c r="H18" i="2" s="1"/>
  <c r="G11" i="2"/>
  <c r="H11" i="2" s="1"/>
  <c r="I18" i="2" l="1"/>
  <c r="H51" i="3" s="1"/>
  <c r="I10" i="2"/>
  <c r="H43" i="3" s="1"/>
  <c r="I12" i="2"/>
  <c r="H45" i="3" s="1"/>
  <c r="I11" i="2"/>
  <c r="H44" i="3" s="1"/>
  <c r="H58" i="3" l="1"/>
  <c r="H30" i="3" s="1"/>
  <c r="I30" i="3" s="1"/>
  <c r="H33" i="3" l="1"/>
  <c r="H34" i="3" s="1"/>
  <c r="I33" i="3" s="1"/>
  <c r="I34" i="3" s="1"/>
</calcChain>
</file>

<file path=xl/sharedStrings.xml><?xml version="1.0" encoding="utf-8"?>
<sst xmlns="http://schemas.openxmlformats.org/spreadsheetml/2006/main" count="113" uniqueCount="77">
  <si>
    <t>Please complete all grey boxes</t>
  </si>
  <si>
    <t>Select your terms</t>
  </si>
  <si>
    <t>Standard Terms (41 Days)</t>
  </si>
  <si>
    <t>Enter the number of hours you work per week:</t>
  </si>
  <si>
    <t>If you started after:</t>
  </si>
  <si>
    <t>enter your start date:</t>
  </si>
  <si>
    <t>If you leave before:</t>
  </si>
  <si>
    <t>enter your leaving date:</t>
  </si>
  <si>
    <t>Enter the number of hours you work each day in decimals: e.g. 3.6; this must be up-to-date and correct on the system</t>
  </si>
  <si>
    <t>Monday</t>
  </si>
  <si>
    <t>Tuesday</t>
  </si>
  <si>
    <t>Wednesday</t>
  </si>
  <si>
    <t>Thursday</t>
  </si>
  <si>
    <t>Friday</t>
  </si>
  <si>
    <t>Saturday</t>
  </si>
  <si>
    <t>Sunday</t>
  </si>
  <si>
    <t>Total Weekly Hours</t>
  </si>
  <si>
    <t>Calculator</t>
  </si>
  <si>
    <t>HOURS</t>
  </si>
  <si>
    <t xml:space="preserve">Your pro rata annual leave entitlement for this leave year is: </t>
  </si>
  <si>
    <t xml:space="preserve">Your carryover for the year is: </t>
  </si>
  <si>
    <t>The total hours you would have worked on Bank Holiday/Closure Days are:</t>
  </si>
  <si>
    <r>
      <t>Enter any leave you have</t>
    </r>
    <r>
      <rPr>
        <u/>
        <sz val="12"/>
        <color rgb="FFFF0000"/>
        <rFont val="Arial Narrow"/>
        <family val="2"/>
      </rPr>
      <t xml:space="preserve"> </t>
    </r>
    <r>
      <rPr>
        <u/>
        <sz val="12"/>
        <color rgb="FF007A87"/>
        <rFont val="Arial Narrow"/>
        <family val="2"/>
      </rPr>
      <t>booked or taken</t>
    </r>
    <r>
      <rPr>
        <sz val="12"/>
        <rFont val="Arial Narrow"/>
        <family val="2"/>
      </rPr>
      <t xml:space="preserve"> (In hours)</t>
    </r>
  </si>
  <si>
    <t>Your annual leave balance and remaining hours available to book are:</t>
  </si>
  <si>
    <t>Bank holiday and closure days 2025:</t>
  </si>
  <si>
    <t>Date</t>
  </si>
  <si>
    <t>Day</t>
  </si>
  <si>
    <t>Occasion</t>
  </si>
  <si>
    <t>BH/Closure Day</t>
  </si>
  <si>
    <t>Deductions</t>
  </si>
  <si>
    <t>Closure Day</t>
  </si>
  <si>
    <t>Bank Holiday</t>
  </si>
  <si>
    <t>Total hours deducted for bank holiday/closure days:</t>
  </si>
  <si>
    <t>Annual Leave</t>
  </si>
  <si>
    <t>BH/Closure</t>
  </si>
  <si>
    <t>Total</t>
  </si>
  <si>
    <t>All UoE Grades</t>
  </si>
  <si>
    <t>^ Baseline allowance</t>
  </si>
  <si>
    <t>^ Baseline A/L plus BH &amp; closure days</t>
  </si>
  <si>
    <t>Start Date</t>
  </si>
  <si>
    <t>End Date</t>
  </si>
  <si>
    <t>Number of days between period</t>
  </si>
  <si>
    <t>Number of days (leap year)</t>
  </si>
  <si>
    <t>^ This will show start of leave year by default, or staff member's start date if it's after the start of the leave year</t>
  </si>
  <si>
    <t>^ This will show end of leave year by default, or staff member's end date if it's before the end of the leave year</t>
  </si>
  <si>
    <t>^ Days between staff member's start date (A5) and end date (B5)</t>
  </si>
  <si>
    <t>^ Leave year start date</t>
  </si>
  <si>
    <t>^ Leave year end date</t>
  </si>
  <si>
    <t>Day Number</t>
  </si>
  <si>
    <t>Working Pattern</t>
  </si>
  <si>
    <t>Employed</t>
  </si>
  <si>
    <t>TRUE (1)/FALSE (0)</t>
  </si>
  <si>
    <t>Duration of BH/CL</t>
  </si>
  <si>
    <t>New Year's Day</t>
  </si>
  <si>
    <t>Spring Break</t>
  </si>
  <si>
    <t>Good Friday</t>
  </si>
  <si>
    <t>Easter Monday</t>
  </si>
  <si>
    <t>May Bank Holiday</t>
  </si>
  <si>
    <t>Spring Bank Holiday</t>
  </si>
  <si>
    <t>Summer Bank Holiday</t>
  </si>
  <si>
    <t>Winter Break</t>
  </si>
  <si>
    <t>^ Day of the week where Monday = 1, Tuesday = 2 etc</t>
  </si>
  <si>
    <t>^ This is pulled from what the staff member inputs as their hours worked each day on the Calculator sheet</t>
  </si>
  <si>
    <t>^ Shows 'TRUE' if this date falls between the staff member's start and end dates (see row 5)</t>
  </si>
  <si>
    <t>^ If the Employed column shows 'TRUE' there will be a 1 in this column</t>
  </si>
  <si>
    <t>^ This is the staff member's usual working hours on the date in question, therefore how much leave they are due for that BH/closure</t>
  </si>
  <si>
    <t>TERMS</t>
  </si>
  <si>
    <t>EX-CRA Terms (39 Days)</t>
  </si>
  <si>
    <t>FTE</t>
  </si>
  <si>
    <r>
      <t xml:space="preserve">Your pro rata annual leave entitlement </t>
    </r>
    <r>
      <rPr>
        <u/>
        <sz val="11"/>
        <color rgb="FF007A87"/>
        <rFont val="Arial Narrow"/>
        <family val="2"/>
      </rPr>
      <t>including carryover</t>
    </r>
    <r>
      <rPr>
        <sz val="11"/>
        <rFont val="Arial Narrow"/>
        <family val="2"/>
      </rPr>
      <t xml:space="preserve"> for this leave year is: </t>
    </r>
  </si>
  <si>
    <t>ANNUAL LEAVE CALCULATOR &amp; READY RECKONER 2025</t>
  </si>
  <si>
    <r>
      <t xml:space="preserve">If you have </t>
    </r>
    <r>
      <rPr>
        <u/>
        <sz val="11"/>
        <color rgb="FF007A87"/>
        <rFont val="Arial Narrow"/>
        <family val="2"/>
      </rPr>
      <t>carryover</t>
    </r>
    <r>
      <rPr>
        <sz val="11"/>
        <color theme="1"/>
        <rFont val="Arial Narrow"/>
        <family val="2"/>
      </rPr>
      <t xml:space="preserve"> from the last annual leave year enter the number of </t>
    </r>
    <r>
      <rPr>
        <u/>
        <sz val="11"/>
        <color rgb="FF007A87"/>
        <rFont val="Arial Narrow"/>
        <family val="2"/>
      </rPr>
      <t>hours</t>
    </r>
  </si>
  <si>
    <t>1. If you are have started or are leaving part way through the year; amend the grey date boxes below</t>
  </si>
  <si>
    <t>Standard  + Fire Warden (42 Days)</t>
  </si>
  <si>
    <t>DAYS EQUIVALENT</t>
  </si>
  <si>
    <t>Please note: There may be slight decimal rounding differences when comparing to MyHR</t>
  </si>
  <si>
    <r>
      <t xml:space="preserve">2. Enter your shift pattern, applicable both for full time and part time staff </t>
    </r>
    <r>
      <rPr>
        <i/>
        <sz val="12"/>
        <rFont val="Arial Narrow"/>
        <family val="2"/>
      </rPr>
      <t>(please ensure your pattern is correct on MyHR)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</si>
</sst>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dd"/>
    <numFmt numFmtId="165" formatCode="0.0"/>
    <numFmt numFmtId="166" formatCode="0.00000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6"/>
      <color theme="3"/>
      <name val="Arial Narrow"/>
      <family val="2"/>
    </font>
    <font>
      <b/>
      <sz val="12"/>
      <color theme="3"/>
      <name val="Arial Narrow"/>
      <family val="2"/>
    </font>
    <font>
      <b/>
      <sz val="18"/>
      <color theme="3"/>
      <name val="Arial Narrow"/>
      <family val="2"/>
    </font>
    <font>
      <sz val="12"/>
      <color theme="1"/>
      <name val="Arial Narrow"/>
      <family val="2"/>
    </font>
    <font>
      <sz val="11"/>
      <color theme="0"/>
      <name val="Arial Narrow"/>
      <family val="2"/>
    </font>
    <font>
      <b/>
      <sz val="14"/>
      <color theme="1"/>
      <name val="Arial Narrow"/>
      <family val="2"/>
    </font>
    <font>
      <b/>
      <sz val="11"/>
      <color theme="0"/>
      <name val="Arial Narrow"/>
      <family val="2"/>
    </font>
    <font>
      <sz val="12"/>
      <name val="Arial Narrow"/>
      <family val="2"/>
    </font>
    <font>
      <b/>
      <sz val="11"/>
      <color theme="3"/>
      <name val="Arial Narrow"/>
      <family val="2"/>
    </font>
    <font>
      <sz val="11"/>
      <color rgb="FFC00000"/>
      <name val="Arial Narrow"/>
      <family val="2"/>
    </font>
    <font>
      <u/>
      <sz val="12"/>
      <color rgb="FFFF0000"/>
      <name val="Arial Narrow"/>
      <family val="2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sz val="14"/>
      <name val="Arial Narrow"/>
      <family val="2"/>
    </font>
    <font>
      <b/>
      <sz val="11"/>
      <color rgb="FF007A87"/>
      <name val="Arial Narrow"/>
      <family val="2"/>
    </font>
    <font>
      <b/>
      <sz val="20"/>
      <color theme="1"/>
      <name val="Arial Narrow"/>
      <family val="2"/>
    </font>
    <font>
      <u/>
      <sz val="12"/>
      <color rgb="FF007A87"/>
      <name val="Arial Narrow"/>
      <family val="2"/>
    </font>
    <font>
      <u/>
      <sz val="11"/>
      <color rgb="FF007A87"/>
      <name val="Arial Narrow"/>
      <family val="2"/>
    </font>
    <font>
      <b/>
      <sz val="12"/>
      <color theme="1"/>
      <name val="Arial Narrow"/>
      <family val="2"/>
    </font>
    <font>
      <i/>
      <sz val="12"/>
      <name val="Arial Narrow"/>
      <family val="2"/>
    </font>
    <font>
      <b/>
      <sz val="16"/>
      <color rgb="FFC00000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 style="medium">
        <color rgb="FF007A87"/>
      </left>
      <right style="medium">
        <color rgb="FF007A87"/>
      </right>
      <top style="medium">
        <color rgb="FF007A87"/>
      </top>
      <bottom style="medium">
        <color rgb="FF007A87"/>
      </bottom>
      <diagonal/>
    </border>
    <border>
      <left style="medium">
        <color rgb="FF007A87"/>
      </left>
      <right/>
      <top style="medium">
        <color rgb="FF007A87"/>
      </top>
      <bottom style="medium">
        <color rgb="FF007A87"/>
      </bottom>
      <diagonal/>
    </border>
    <border>
      <left/>
      <right/>
      <top style="medium">
        <color rgb="FF007A87"/>
      </top>
      <bottom style="medium">
        <color rgb="FF007A87"/>
      </bottom>
      <diagonal/>
    </border>
    <border>
      <left/>
      <right style="medium">
        <color rgb="FF007A87"/>
      </right>
      <top style="medium">
        <color rgb="FF007A87"/>
      </top>
      <bottom style="medium">
        <color rgb="FF007A87"/>
      </bottom>
      <diagonal/>
    </border>
    <border>
      <left/>
      <right style="medium">
        <color rgb="FF007A87"/>
      </right>
      <top/>
      <bottom/>
      <diagonal/>
    </border>
    <border>
      <left style="medium">
        <color rgb="FF007A87"/>
      </left>
      <right style="thin">
        <color indexed="64"/>
      </right>
      <top style="medium">
        <color rgb="FF007A87"/>
      </top>
      <bottom/>
      <diagonal/>
    </border>
    <border>
      <left style="thin">
        <color indexed="64"/>
      </left>
      <right style="thin">
        <color indexed="64"/>
      </right>
      <top style="medium">
        <color rgb="FF007A87"/>
      </top>
      <bottom/>
      <diagonal/>
    </border>
    <border>
      <left style="thin">
        <color indexed="64"/>
      </left>
      <right/>
      <top style="medium">
        <color rgb="FF007A87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2" borderId="2" applyNumberFormat="0" applyFont="0" applyAlignment="0" applyProtection="0"/>
  </cellStyleXfs>
  <cellXfs count="113">
    <xf numFmtId="0" fontId="0" fillId="0" borderId="0" xfId="0"/>
    <xf numFmtId="0" fontId="1" fillId="0" borderId="0" xfId="0" applyFont="1"/>
    <xf numFmtId="0" fontId="1" fillId="7" borderId="2" xfId="1" applyFont="1" applyFill="1"/>
    <xf numFmtId="0" fontId="0" fillId="7" borderId="2" xfId="1" applyFont="1" applyFill="1"/>
    <xf numFmtId="15" fontId="0" fillId="7" borderId="2" xfId="1" applyNumberFormat="1" applyFont="1" applyFill="1"/>
    <xf numFmtId="1" fontId="0" fillId="7" borderId="2" xfId="1" applyNumberFormat="1" applyFont="1" applyFill="1"/>
    <xf numFmtId="0" fontId="1" fillId="7" borderId="2" xfId="1" applyFont="1" applyFill="1" applyProtection="1">
      <protection locked="0"/>
    </xf>
    <xf numFmtId="15" fontId="0" fillId="7" borderId="2" xfId="1" applyNumberFormat="1" applyFont="1" applyFill="1" applyAlignment="1" applyProtection="1">
      <alignment horizontal="left"/>
      <protection locked="0"/>
    </xf>
    <xf numFmtId="164" fontId="0" fillId="7" borderId="2" xfId="1" applyNumberFormat="1" applyFont="1" applyFill="1" applyProtection="1">
      <protection locked="0"/>
    </xf>
    <xf numFmtId="0" fontId="0" fillId="7" borderId="2" xfId="1" applyFont="1" applyFill="1" applyProtection="1">
      <protection locked="0"/>
    </xf>
    <xf numFmtId="0" fontId="3" fillId="0" borderId="0" xfId="0" applyFont="1"/>
    <xf numFmtId="0" fontId="4" fillId="0" borderId="3" xfId="0" applyFont="1" applyBorder="1"/>
    <xf numFmtId="0" fontId="4" fillId="0" borderId="4" xfId="0" applyFont="1" applyBorder="1"/>
    <xf numFmtId="0" fontId="3" fillId="0" borderId="4" xfId="0" applyFont="1" applyBorder="1"/>
    <xf numFmtId="0" fontId="4" fillId="0" borderId="6" xfId="0" applyFont="1" applyBorder="1"/>
    <xf numFmtId="0" fontId="3" fillId="0" borderId="7" xfId="0" applyFont="1" applyBorder="1"/>
    <xf numFmtId="15" fontId="4" fillId="0" borderId="1" xfId="0" applyNumberFormat="1" applyFont="1" applyBorder="1" applyAlignment="1">
      <alignment horizontal="center"/>
    </xf>
    <xf numFmtId="0" fontId="4" fillId="0" borderId="11" xfId="0" applyFont="1" applyBorder="1"/>
    <xf numFmtId="0" fontId="4" fillId="0" borderId="12" xfId="0" applyFont="1" applyBorder="1"/>
    <xf numFmtId="0" fontId="17" fillId="0" borderId="12" xfId="0" applyFont="1" applyBorder="1" applyAlignment="1">
      <alignment horizontal="center"/>
    </xf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2" fontId="11" fillId="5" borderId="1" xfId="0" applyNumberFormat="1" applyFont="1" applyFill="1" applyBorder="1" applyAlignment="1">
      <alignment horizontal="center"/>
    </xf>
    <xf numFmtId="0" fontId="3" fillId="0" borderId="14" xfId="0" applyFont="1" applyBorder="1"/>
    <xf numFmtId="0" fontId="3" fillId="0" borderId="16" xfId="0" applyFont="1" applyBorder="1"/>
    <xf numFmtId="0" fontId="4" fillId="0" borderId="17" xfId="0" applyFont="1" applyBorder="1"/>
    <xf numFmtId="0" fontId="16" fillId="0" borderId="1" xfId="0" applyFont="1" applyBorder="1" applyAlignment="1">
      <alignment horizontal="center"/>
    </xf>
    <xf numFmtId="15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3" fillId="0" borderId="6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6" fillId="3" borderId="18" xfId="0" applyFont="1" applyFill="1" applyBorder="1" applyAlignment="1" applyProtection="1">
      <alignment horizontal="center" vertical="center" wrapText="1"/>
      <protection locked="0"/>
    </xf>
    <xf numFmtId="0" fontId="7" fillId="3" borderId="18" xfId="0" applyFont="1" applyFill="1" applyBorder="1" applyAlignment="1" applyProtection="1">
      <alignment horizontal="center" vertical="center" wrapText="1"/>
      <protection locked="0"/>
    </xf>
    <xf numFmtId="15" fontId="13" fillId="3" borderId="18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/>
    <xf numFmtId="2" fontId="11" fillId="5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3" fillId="4" borderId="0" xfId="0" applyFont="1" applyFill="1" applyBorder="1"/>
    <xf numFmtId="0" fontId="23" fillId="4" borderId="0" xfId="0" applyFont="1" applyFill="1" applyBorder="1" applyAlignment="1"/>
    <xf numFmtId="0" fontId="8" fillId="4" borderId="0" xfId="0" applyFont="1" applyFill="1" applyBorder="1" applyAlignment="1">
      <alignment vertical="center"/>
    </xf>
    <xf numFmtId="0" fontId="6" fillId="4" borderId="0" xfId="0" applyFont="1" applyFill="1" applyBorder="1" applyAlignment="1" applyProtection="1">
      <alignment vertical="center" wrapText="1"/>
      <protection locked="0"/>
    </xf>
    <xf numFmtId="0" fontId="4" fillId="0" borderId="0" xfId="0" applyFont="1" applyBorder="1"/>
    <xf numFmtId="0" fontId="11" fillId="4" borderId="0" xfId="0" applyFont="1" applyFill="1" applyBorder="1" applyAlignment="1">
      <alignment horizontal="center" vertical="center"/>
    </xf>
    <xf numFmtId="0" fontId="14" fillId="0" borderId="0" xfId="0" applyFont="1" applyBorder="1"/>
    <xf numFmtId="0" fontId="16" fillId="0" borderId="0" xfId="0" applyFont="1" applyBorder="1" applyAlignment="1">
      <alignment horizontal="left"/>
    </xf>
    <xf numFmtId="0" fontId="9" fillId="4" borderId="0" xfId="0" applyFont="1" applyFill="1" applyBorder="1"/>
    <xf numFmtId="0" fontId="10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165" fontId="11" fillId="0" borderId="0" xfId="0" applyNumberFormat="1" applyFont="1" applyBorder="1" applyAlignment="1">
      <alignment horizontal="center" vertical="center"/>
    </xf>
    <xf numFmtId="1" fontId="11" fillId="0" borderId="0" xfId="0" applyNumberFormat="1" applyFont="1" applyBorder="1" applyAlignment="1">
      <alignment horizontal="center" vertical="center"/>
    </xf>
    <xf numFmtId="0" fontId="18" fillId="0" borderId="0" xfId="0" applyFont="1" applyBorder="1"/>
    <xf numFmtId="0" fontId="19" fillId="0" borderId="0" xfId="0" applyFont="1" applyBorder="1"/>
    <xf numFmtId="0" fontId="3" fillId="0" borderId="5" xfId="0" applyFont="1" applyBorder="1"/>
    <xf numFmtId="0" fontId="3" fillId="0" borderId="0" xfId="0" applyFont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0" fontId="13" fillId="3" borderId="23" xfId="0" applyFont="1" applyFill="1" applyBorder="1" applyAlignment="1" applyProtection="1">
      <alignment horizontal="center"/>
      <protection locked="0"/>
    </xf>
    <xf numFmtId="0" fontId="13" fillId="3" borderId="24" xfId="0" applyFont="1" applyFill="1" applyBorder="1" applyAlignment="1" applyProtection="1">
      <alignment horizontal="center"/>
      <protection locked="0"/>
    </xf>
    <xf numFmtId="0" fontId="13" fillId="9" borderId="24" xfId="0" applyFont="1" applyFill="1" applyBorder="1" applyAlignment="1" applyProtection="1">
      <alignment horizontal="center"/>
      <protection locked="0"/>
    </xf>
    <xf numFmtId="0" fontId="13" fillId="9" borderId="25" xfId="0" applyFont="1" applyFill="1" applyBorder="1" applyAlignment="1" applyProtection="1">
      <alignment horizontal="center"/>
      <protection locked="0"/>
    </xf>
    <xf numFmtId="0" fontId="9" fillId="6" borderId="1" xfId="0" applyFont="1" applyFill="1" applyBorder="1" applyAlignment="1">
      <alignment horizontal="center"/>
    </xf>
    <xf numFmtId="0" fontId="9" fillId="6" borderId="26" xfId="0" applyFont="1" applyFill="1" applyBorder="1" applyAlignment="1">
      <alignment horizontal="center"/>
    </xf>
    <xf numFmtId="0" fontId="9" fillId="0" borderId="7" xfId="0" applyFont="1" applyBorder="1"/>
    <xf numFmtId="2" fontId="11" fillId="5" borderId="1" xfId="0" applyNumberFormat="1" applyFont="1" applyFill="1" applyBorder="1" applyAlignment="1">
      <alignment horizontal="center" vertical="center"/>
    </xf>
    <xf numFmtId="165" fontId="11" fillId="5" borderId="1" xfId="0" applyNumberFormat="1" applyFont="1" applyFill="1" applyBorder="1" applyAlignment="1">
      <alignment horizontal="center" vertical="center"/>
    </xf>
    <xf numFmtId="0" fontId="9" fillId="0" borderId="0" xfId="0" applyFont="1" applyBorder="1"/>
    <xf numFmtId="0" fontId="25" fillId="0" borderId="0" xfId="0" applyFont="1" applyBorder="1" applyAlignment="1">
      <alignment vertical="top" wrapText="1"/>
    </xf>
    <xf numFmtId="165" fontId="11" fillId="5" borderId="1" xfId="0" applyNumberFormat="1" applyFont="1" applyFill="1" applyBorder="1" applyAlignment="1">
      <alignment horizontal="center"/>
    </xf>
    <xf numFmtId="0" fontId="3" fillId="4" borderId="0" xfId="0" applyFont="1" applyFill="1"/>
    <xf numFmtId="0" fontId="9" fillId="4" borderId="0" xfId="0" applyFont="1" applyFill="1"/>
    <xf numFmtId="166" fontId="9" fillId="4" borderId="0" xfId="0" applyNumberFormat="1" applyFont="1" applyFill="1"/>
    <xf numFmtId="0" fontId="12" fillId="8" borderId="3" xfId="0" applyFont="1" applyFill="1" applyBorder="1" applyAlignment="1">
      <alignment vertical="center" wrapText="1"/>
    </xf>
    <xf numFmtId="0" fontId="12" fillId="8" borderId="4" xfId="0" applyFont="1" applyFill="1" applyBorder="1" applyAlignment="1">
      <alignment vertical="center" wrapText="1"/>
    </xf>
    <xf numFmtId="0" fontId="12" fillId="8" borderId="5" xfId="0" applyFont="1" applyFill="1" applyBorder="1" applyAlignment="1">
      <alignment vertical="center" wrapText="1"/>
    </xf>
    <xf numFmtId="0" fontId="12" fillId="8" borderId="8" xfId="0" applyFont="1" applyFill="1" applyBorder="1" applyAlignment="1">
      <alignment vertical="center" wrapText="1"/>
    </xf>
    <xf numFmtId="0" fontId="12" fillId="8" borderId="9" xfId="0" applyFont="1" applyFill="1" applyBorder="1" applyAlignment="1">
      <alignment vertical="center" wrapText="1"/>
    </xf>
    <xf numFmtId="0" fontId="12" fillId="8" borderId="10" xfId="0" applyFont="1" applyFill="1" applyBorder="1" applyAlignment="1">
      <alignment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/>
    </xf>
    <xf numFmtId="0" fontId="12" fillId="8" borderId="3" xfId="0" applyFont="1" applyFill="1" applyBorder="1" applyAlignment="1">
      <alignment horizontal="left" vertical="center"/>
    </xf>
    <xf numFmtId="0" fontId="12" fillId="8" borderId="4" xfId="0" applyFont="1" applyFill="1" applyBorder="1" applyAlignment="1">
      <alignment horizontal="left" vertical="center"/>
    </xf>
    <xf numFmtId="0" fontId="12" fillId="8" borderId="5" xfId="0" applyFont="1" applyFill="1" applyBorder="1" applyAlignment="1">
      <alignment horizontal="left" vertical="center"/>
    </xf>
    <xf numFmtId="0" fontId="12" fillId="8" borderId="8" xfId="0" applyFont="1" applyFill="1" applyBorder="1" applyAlignment="1">
      <alignment horizontal="left" vertical="center"/>
    </xf>
    <xf numFmtId="0" fontId="12" fillId="8" borderId="9" xfId="0" applyFont="1" applyFill="1" applyBorder="1" applyAlignment="1">
      <alignment horizontal="left" vertical="center"/>
    </xf>
    <xf numFmtId="0" fontId="12" fillId="8" borderId="10" xfId="0" applyFont="1" applyFill="1" applyBorder="1" applyAlignment="1">
      <alignment horizontal="left" vertical="center"/>
    </xf>
    <xf numFmtId="0" fontId="12" fillId="0" borderId="0" xfId="0" applyFont="1" applyBorder="1" applyAlignment="1">
      <alignment horizontal="right"/>
    </xf>
    <xf numFmtId="0" fontId="5" fillId="3" borderId="19" xfId="0" applyFont="1" applyFill="1" applyBorder="1" applyAlignment="1" applyProtection="1">
      <alignment horizontal="center"/>
      <protection locked="0"/>
    </xf>
    <xf numFmtId="0" fontId="5" fillId="3" borderId="21" xfId="0" applyFont="1" applyFill="1" applyBorder="1" applyAlignment="1" applyProtection="1">
      <alignment horizontal="center"/>
      <protection locked="0"/>
    </xf>
    <xf numFmtId="0" fontId="12" fillId="0" borderId="0" xfId="0" applyFont="1" applyBorder="1" applyAlignment="1">
      <alignment horizontal="right" vertical="top" wrapText="1"/>
    </xf>
    <xf numFmtId="0" fontId="12" fillId="0" borderId="17" xfId="0" applyFont="1" applyBorder="1" applyAlignment="1">
      <alignment horizontal="right" vertical="top" wrapText="1"/>
    </xf>
    <xf numFmtId="2" fontId="11" fillId="5" borderId="1" xfId="0" applyNumberFormat="1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top" wrapText="1"/>
    </xf>
    <xf numFmtId="0" fontId="3" fillId="0" borderId="28" xfId="0" applyFont="1" applyBorder="1" applyAlignment="1">
      <alignment horizontal="center" vertical="top" wrapText="1"/>
    </xf>
    <xf numFmtId="0" fontId="3" fillId="0" borderId="29" xfId="0" applyFont="1" applyBorder="1" applyAlignment="1">
      <alignment horizontal="center" vertical="top" wrapText="1"/>
    </xf>
    <xf numFmtId="0" fontId="25" fillId="0" borderId="30" xfId="0" applyFont="1" applyBorder="1" applyAlignment="1">
      <alignment horizontal="center" vertical="center" wrapText="1"/>
    </xf>
  </cellXfs>
  <cellStyles count="2">
    <cellStyle name="Normal" xfId="0" builtinId="0"/>
    <cellStyle name="Note" xfId="1" builtinId="10"/>
  </cellStyles>
  <dxfs count="1"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FFCC00"/>
      <color rgb="FF007A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485776</xdr:colOff>
      <xdr:row>7</xdr:row>
      <xdr:rowOff>1</xdr:rowOff>
    </xdr:from>
    <xdr:to>
      <xdr:col>12</xdr:col>
      <xdr:colOff>19051</xdr:colOff>
      <xdr:row>14</xdr:row>
      <xdr:rowOff>314326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7E429EC-55C6-4B77-9438-BFD2DA60882D}"/>
            </a:ext>
          </a:extLst>
        </xdr:cNvPr>
        <xdr:cNvSpPr txBox="1"/>
      </xdr:nvSpPr>
      <xdr:spPr>
        <a:xfrm>
          <a:off x="8372476" y="2076451"/>
          <a:ext cx="2800350" cy="19812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GB" sz="9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Useful</a:t>
          </a:r>
          <a:r>
            <a:rPr lang="en-GB" sz="9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Terminology</a:t>
          </a:r>
          <a:endParaRPr lang="en-GB" sz="900" b="1" i="0" u="none" strike="noStrike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GB" sz="900" b="1" i="0" u="none" strike="noStrike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GB" sz="9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Entitlement</a:t>
          </a:r>
          <a:r>
            <a:rPr lang="en-GB" sz="9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- Total Annual Leave and Bank Holiday</a:t>
          </a:r>
          <a:r>
            <a:rPr lang="en-GB" sz="9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GB" sz="9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entitlement for the year.</a:t>
          </a:r>
          <a:r>
            <a:rPr lang="en-GB" sz="900"/>
            <a:t> </a:t>
          </a:r>
        </a:p>
        <a:p>
          <a:endParaRPr lang="en-GB" sz="900"/>
        </a:p>
        <a:p>
          <a:r>
            <a:rPr lang="en-GB" sz="9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Taken </a:t>
          </a:r>
          <a:r>
            <a:rPr lang="en-GB" sz="9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- Annual Leave, Bank Holidays and Closure Days</a:t>
          </a:r>
          <a:r>
            <a:rPr lang="en-GB" sz="9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GB" sz="9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which have already taken place.</a:t>
          </a:r>
          <a:r>
            <a:rPr lang="en-GB" sz="900"/>
            <a:t> </a:t>
          </a:r>
        </a:p>
        <a:p>
          <a:endParaRPr lang="en-GB" sz="900"/>
        </a:p>
        <a:p>
          <a:r>
            <a:rPr lang="en-GB" sz="9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Scheduled</a:t>
          </a:r>
          <a:r>
            <a:rPr lang="en-GB" sz="9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- Annual Leave, Bank Holidays and Closure Days</a:t>
          </a:r>
          <a:r>
            <a:rPr lang="en-GB" sz="900"/>
            <a:t> </a:t>
          </a:r>
          <a:r>
            <a:rPr lang="en-GB" sz="9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scheduled for the future</a:t>
          </a:r>
          <a:r>
            <a:rPr lang="en-GB" sz="900"/>
            <a:t> </a:t>
          </a:r>
        </a:p>
        <a:p>
          <a:endParaRPr lang="en-GB" sz="900"/>
        </a:p>
        <a:p>
          <a:r>
            <a:rPr lang="en-GB" sz="9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Balance </a:t>
          </a:r>
          <a:r>
            <a:rPr lang="en-GB" sz="9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- Available annual leave you have to book</a:t>
          </a:r>
          <a:r>
            <a:rPr lang="en-GB" sz="900"/>
            <a:t> </a:t>
          </a:r>
        </a:p>
      </xdr:txBody>
    </xdr:sp>
    <xdr:clientData/>
  </xdr:twoCellAnchor>
  <xdr:twoCellAnchor>
    <xdr:from>
      <xdr:col>9</xdr:col>
      <xdr:colOff>476250</xdr:colOff>
      <xdr:row>6</xdr:row>
      <xdr:rowOff>57149</xdr:rowOff>
    </xdr:from>
    <xdr:to>
      <xdr:col>11</xdr:col>
      <xdr:colOff>440220</xdr:colOff>
      <xdr:row>14</xdr:row>
      <xdr:rowOff>323849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C2D5B718-CBBB-4824-A24B-14876ADF53C9}"/>
            </a:ext>
          </a:extLst>
        </xdr:cNvPr>
        <xdr:cNvSpPr/>
      </xdr:nvSpPr>
      <xdr:spPr>
        <a:xfrm>
          <a:off x="8277225" y="2076449"/>
          <a:ext cx="2345220" cy="199072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40812</xdr:colOff>
      <xdr:row>1</xdr:row>
      <xdr:rowOff>50801</xdr:rowOff>
    </xdr:from>
    <xdr:to>
      <xdr:col>4</xdr:col>
      <xdr:colOff>369357</xdr:colOff>
      <xdr:row>3</xdr:row>
      <xdr:rowOff>238125</xdr:rowOff>
    </xdr:to>
    <xdr:pic>
      <xdr:nvPicPr>
        <xdr:cNvPr id="5" name="Picture 4" descr="Inserted picture RelID:1">
          <a:extLst>
            <a:ext uri="{FF2B5EF4-FFF2-40B4-BE49-F238E27FC236}">
              <a16:creationId xmlns:a16="http://schemas.microsoft.com/office/drawing/2014/main" id="{389160D5-C00E-4FB1-A121-C0B21DB0D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112" y="184151"/>
          <a:ext cx="2128770" cy="7302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B8C50-AEAC-43B3-A13B-43F739A5E17D}">
  <sheetPr codeName="Sheet1"/>
  <dimension ref="B1:R59"/>
  <sheetViews>
    <sheetView showGridLines="0" showRowColHeaders="0" tabSelected="1" zoomScaleNormal="100" workbookViewId="0">
      <selection activeCell="Q18" sqref="Q18"/>
    </sheetView>
  </sheetViews>
  <sheetFormatPr defaultColWidth="9.140625" defaultRowHeight="16.5" x14ac:dyDescent="0.3"/>
  <cols>
    <col min="1" max="1" width="1.7109375" style="10" customWidth="1"/>
    <col min="2" max="2" width="3.85546875" style="10" customWidth="1"/>
    <col min="3" max="3" width="6.140625" style="10" customWidth="1"/>
    <col min="4" max="5" width="17" style="10" customWidth="1"/>
    <col min="6" max="6" width="19.42578125" style="10" customWidth="1"/>
    <col min="7" max="7" width="17.85546875" style="10" customWidth="1"/>
    <col min="8" max="8" width="17.5703125" style="10" customWidth="1"/>
    <col min="9" max="9" width="17.7109375" style="10" customWidth="1"/>
    <col min="10" max="10" width="17" style="10" customWidth="1"/>
    <col min="11" max="11" width="25.28515625" style="10" customWidth="1"/>
    <col min="12" max="12" width="6.7109375" style="10" customWidth="1"/>
    <col min="13" max="16384" width="9.140625" style="10"/>
  </cols>
  <sheetData>
    <row r="1" spans="2:17" ht="10.5" customHeight="1" thickBot="1" x14ac:dyDescent="0.35">
      <c r="M1" s="44"/>
      <c r="N1" s="44"/>
      <c r="O1" s="44"/>
      <c r="P1" s="44"/>
      <c r="Q1" s="44"/>
    </row>
    <row r="2" spans="2:17" x14ac:dyDescent="0.3">
      <c r="B2" s="11"/>
      <c r="C2" s="12"/>
      <c r="D2" s="13"/>
      <c r="E2" s="13"/>
      <c r="F2" s="13"/>
      <c r="G2" s="13"/>
      <c r="H2" s="13"/>
      <c r="I2" s="13"/>
      <c r="J2" s="13"/>
      <c r="K2" s="13"/>
      <c r="L2" s="60"/>
      <c r="M2" s="45"/>
      <c r="N2" s="45"/>
      <c r="O2" s="45"/>
      <c r="P2" s="46"/>
      <c r="Q2" s="47"/>
    </row>
    <row r="3" spans="2:17" ht="26.25" thickBot="1" x14ac:dyDescent="0.35">
      <c r="B3" s="85" t="s">
        <v>70</v>
      </c>
      <c r="C3" s="86"/>
      <c r="D3" s="86"/>
      <c r="E3" s="86"/>
      <c r="F3" s="86"/>
      <c r="G3" s="86"/>
      <c r="H3" s="86"/>
      <c r="I3" s="86"/>
      <c r="J3" s="86"/>
      <c r="K3" s="86"/>
      <c r="L3" s="87"/>
      <c r="M3" s="46"/>
      <c r="N3" s="46"/>
      <c r="O3" s="46"/>
      <c r="P3" s="44"/>
      <c r="Q3" s="44"/>
    </row>
    <row r="4" spans="2:17" ht="21" customHeight="1" thickBot="1" x14ac:dyDescent="0.35">
      <c r="B4" s="14"/>
      <c r="C4" s="48"/>
      <c r="D4" s="39"/>
      <c r="E4" s="39"/>
      <c r="F4" s="88" t="s">
        <v>0</v>
      </c>
      <c r="G4" s="89"/>
      <c r="H4" s="89"/>
      <c r="I4" s="89"/>
      <c r="J4" s="90"/>
      <c r="K4" s="39"/>
      <c r="L4" s="15"/>
      <c r="M4" s="92"/>
      <c r="N4" s="92"/>
      <c r="O4" s="91"/>
      <c r="P4" s="91"/>
      <c r="Q4" s="91"/>
    </row>
    <row r="5" spans="2:17" ht="34.5" customHeight="1" thickBot="1" x14ac:dyDescent="0.35">
      <c r="B5" s="14"/>
      <c r="C5" s="48"/>
      <c r="D5" s="39"/>
      <c r="E5" s="39"/>
      <c r="F5" s="39"/>
      <c r="G5" s="39"/>
      <c r="H5" s="63" t="s">
        <v>68</v>
      </c>
      <c r="I5" s="39"/>
      <c r="J5" s="39"/>
      <c r="K5" s="39"/>
      <c r="L5" s="15"/>
      <c r="M5" s="91"/>
      <c r="N5" s="91"/>
      <c r="O5" s="91"/>
      <c r="P5" s="91"/>
      <c r="Q5" s="91"/>
    </row>
    <row r="6" spans="2:17" ht="50.25" customHeight="1" thickBot="1" x14ac:dyDescent="0.35">
      <c r="B6" s="32"/>
      <c r="C6" s="49">
        <f>(Data!B2*7)+K6</f>
        <v>175</v>
      </c>
      <c r="D6" s="41" t="s">
        <v>1</v>
      </c>
      <c r="E6" s="36" t="s">
        <v>2</v>
      </c>
      <c r="F6" s="61" t="s">
        <v>3</v>
      </c>
      <c r="G6" s="37"/>
      <c r="H6" s="40">
        <f>G6/35</f>
        <v>0</v>
      </c>
      <c r="I6" s="93" t="s">
        <v>71</v>
      </c>
      <c r="J6" s="94"/>
      <c r="K6" s="37"/>
      <c r="L6" s="15"/>
      <c r="M6" s="91"/>
      <c r="N6" s="91"/>
      <c r="O6" s="91"/>
      <c r="P6" s="91"/>
      <c r="Q6" s="91"/>
    </row>
    <row r="7" spans="2:17" ht="4.5" customHeight="1" thickBot="1" x14ac:dyDescent="0.35">
      <c r="B7" s="32"/>
      <c r="C7" s="41"/>
      <c r="D7" s="41"/>
      <c r="E7" s="41"/>
      <c r="F7" s="41"/>
      <c r="G7" s="41"/>
      <c r="H7" s="41"/>
      <c r="I7" s="41"/>
      <c r="J7" s="41"/>
      <c r="K7" s="41"/>
      <c r="L7" s="15"/>
      <c r="M7" s="62"/>
      <c r="N7" s="62"/>
      <c r="O7" s="62"/>
      <c r="P7" s="62"/>
      <c r="Q7" s="62"/>
    </row>
    <row r="8" spans="2:17" ht="27" customHeight="1" x14ac:dyDescent="0.3">
      <c r="B8" s="79" t="s">
        <v>72</v>
      </c>
      <c r="C8" s="80"/>
      <c r="D8" s="80"/>
      <c r="E8" s="80"/>
      <c r="F8" s="80"/>
      <c r="G8" s="80"/>
      <c r="H8" s="80"/>
      <c r="I8" s="80"/>
      <c r="J8" s="80"/>
      <c r="K8" s="80"/>
      <c r="L8" s="81"/>
    </row>
    <row r="9" spans="2:17" ht="23.25" customHeight="1" thickBot="1" x14ac:dyDescent="0.35">
      <c r="B9" s="82"/>
      <c r="C9" s="83"/>
      <c r="D9" s="83"/>
      <c r="E9" s="83"/>
      <c r="F9" s="83"/>
      <c r="G9" s="83"/>
      <c r="H9" s="83"/>
      <c r="I9" s="83"/>
      <c r="J9" s="83"/>
      <c r="K9" s="83"/>
      <c r="L9" s="84"/>
    </row>
    <row r="10" spans="2:17" ht="17.25" thickBot="1" x14ac:dyDescent="0.35">
      <c r="B10" s="14"/>
      <c r="C10" s="48"/>
      <c r="D10" s="39"/>
      <c r="E10" s="39"/>
      <c r="F10" s="39"/>
      <c r="G10" s="39"/>
      <c r="H10" s="39"/>
      <c r="I10" s="39"/>
      <c r="J10" s="39"/>
      <c r="K10" s="39"/>
      <c r="L10" s="15"/>
    </row>
    <row r="11" spans="2:17" ht="17.25" thickBot="1" x14ac:dyDescent="0.35">
      <c r="B11" s="14"/>
      <c r="C11" s="48"/>
      <c r="D11" s="39" t="s">
        <v>4</v>
      </c>
      <c r="E11" s="16">
        <f>Data!E5</f>
        <v>45658</v>
      </c>
      <c r="F11" s="39" t="s">
        <v>5</v>
      </c>
      <c r="G11" s="38">
        <v>45658</v>
      </c>
      <c r="H11" s="50" t="str">
        <f>IF(ISBLANK(G11),"",IF(G11&gt;=E11," ","The date entered must be equal to or after 01/01/2025"))</f>
        <v xml:space="preserve"> </v>
      </c>
      <c r="I11" s="39"/>
      <c r="J11" s="39"/>
      <c r="K11" s="39"/>
      <c r="L11" s="15"/>
    </row>
    <row r="12" spans="2:17" ht="15" customHeight="1" thickBot="1" x14ac:dyDescent="0.35">
      <c r="B12" s="14"/>
      <c r="C12" s="48"/>
      <c r="D12" s="39" t="s">
        <v>6</v>
      </c>
      <c r="E12" s="16">
        <f>Data!F5</f>
        <v>46022</v>
      </c>
      <c r="F12" s="39" t="s">
        <v>7</v>
      </c>
      <c r="G12" s="38">
        <v>46022</v>
      </c>
      <c r="H12" s="39"/>
      <c r="I12" s="39"/>
      <c r="J12" s="39"/>
      <c r="K12" s="39"/>
      <c r="L12" s="15"/>
    </row>
    <row r="13" spans="2:17" ht="15" customHeight="1" thickBot="1" x14ac:dyDescent="0.35">
      <c r="B13" s="14"/>
      <c r="C13" s="48"/>
      <c r="D13" s="39"/>
      <c r="E13" s="39"/>
      <c r="F13" s="39"/>
      <c r="G13" s="39"/>
      <c r="H13" s="39"/>
      <c r="I13" s="39"/>
      <c r="J13" s="39"/>
      <c r="K13" s="39"/>
      <c r="L13" s="15"/>
    </row>
    <row r="14" spans="2:17" x14ac:dyDescent="0.3">
      <c r="B14" s="96" t="s">
        <v>76</v>
      </c>
      <c r="C14" s="97"/>
      <c r="D14" s="97"/>
      <c r="E14" s="97"/>
      <c r="F14" s="97"/>
      <c r="G14" s="97"/>
      <c r="H14" s="97"/>
      <c r="I14" s="97"/>
      <c r="J14" s="97"/>
      <c r="K14" s="97"/>
      <c r="L14" s="98"/>
    </row>
    <row r="15" spans="2:17" ht="35.25" customHeight="1" thickBot="1" x14ac:dyDescent="0.35">
      <c r="B15" s="99"/>
      <c r="C15" s="100"/>
      <c r="D15" s="100"/>
      <c r="E15" s="100"/>
      <c r="F15" s="100"/>
      <c r="G15" s="100"/>
      <c r="H15" s="100"/>
      <c r="I15" s="100"/>
      <c r="J15" s="100"/>
      <c r="K15" s="100"/>
      <c r="L15" s="101"/>
    </row>
    <row r="16" spans="2:17" ht="8.25" customHeight="1" x14ac:dyDescent="0.3">
      <c r="B16" s="14"/>
      <c r="C16" s="48"/>
      <c r="D16" s="39"/>
      <c r="E16" s="39"/>
      <c r="F16" s="39"/>
      <c r="G16" s="39"/>
      <c r="H16" s="39"/>
      <c r="I16" s="39"/>
      <c r="J16" s="39"/>
      <c r="K16" s="39"/>
      <c r="L16" s="15"/>
    </row>
    <row r="17" spans="2:18" ht="12" customHeight="1" x14ac:dyDescent="0.3">
      <c r="B17" s="14"/>
      <c r="C17" s="48"/>
      <c r="D17" s="51"/>
      <c r="E17" s="39"/>
      <c r="F17" s="39"/>
      <c r="G17" s="39"/>
      <c r="H17" s="39"/>
      <c r="I17" s="39"/>
      <c r="J17" s="39"/>
      <c r="K17" s="39"/>
      <c r="L17" s="15"/>
    </row>
    <row r="18" spans="2:18" x14ac:dyDescent="0.3">
      <c r="B18" s="14"/>
      <c r="C18" s="48"/>
      <c r="D18" s="39" t="s">
        <v>8</v>
      </c>
      <c r="E18" s="39"/>
      <c r="F18" s="39"/>
      <c r="G18" s="39"/>
      <c r="H18" s="39"/>
      <c r="I18" s="39"/>
      <c r="J18" s="39"/>
      <c r="K18" s="39"/>
      <c r="L18" s="15"/>
    </row>
    <row r="19" spans="2:18" x14ac:dyDescent="0.3">
      <c r="B19" s="14"/>
      <c r="C19" s="48"/>
      <c r="D19" s="52">
        <v>1</v>
      </c>
      <c r="E19" s="52">
        <v>2</v>
      </c>
      <c r="F19" s="52">
        <v>3</v>
      </c>
      <c r="G19" s="52">
        <v>4</v>
      </c>
      <c r="H19" s="52">
        <v>5</v>
      </c>
      <c r="I19" s="52">
        <v>6</v>
      </c>
      <c r="J19" s="52">
        <v>7</v>
      </c>
      <c r="K19" s="39"/>
      <c r="L19" s="15"/>
    </row>
    <row r="20" spans="2:18" ht="17.25" thickBot="1" x14ac:dyDescent="0.35">
      <c r="B20" s="14"/>
      <c r="C20" s="48"/>
      <c r="D20" s="42" t="s">
        <v>9</v>
      </c>
      <c r="E20" s="42" t="s">
        <v>10</v>
      </c>
      <c r="F20" s="42" t="s">
        <v>11</v>
      </c>
      <c r="G20" s="42" t="s">
        <v>12</v>
      </c>
      <c r="H20" s="42" t="s">
        <v>13</v>
      </c>
      <c r="I20" s="42" t="s">
        <v>14</v>
      </c>
      <c r="J20" s="42" t="s">
        <v>15</v>
      </c>
      <c r="K20" s="42" t="s">
        <v>16</v>
      </c>
      <c r="L20" s="15"/>
    </row>
    <row r="21" spans="2:18" ht="19.5" customHeight="1" x14ac:dyDescent="0.3">
      <c r="B21" s="14"/>
      <c r="C21" s="48"/>
      <c r="D21" s="64"/>
      <c r="E21" s="65"/>
      <c r="F21" s="65"/>
      <c r="G21" s="65"/>
      <c r="H21" s="65"/>
      <c r="I21" s="66"/>
      <c r="J21" s="67"/>
      <c r="K21" s="108">
        <f>IF(G6=L21,L21,"None or incorrect working hours entered!")</f>
        <v>0</v>
      </c>
      <c r="L21" s="70">
        <f>SUM(D21:J21)</f>
        <v>0</v>
      </c>
      <c r="N21" s="76"/>
      <c r="O21" s="76"/>
      <c r="P21" s="76"/>
      <c r="Q21" s="76"/>
      <c r="R21" s="76"/>
    </row>
    <row r="22" spans="2:18" x14ac:dyDescent="0.3">
      <c r="B22" s="14"/>
      <c r="C22" s="48"/>
      <c r="D22" s="31" t="str">
        <f t="shared" ref="D22:J22" si="0">IF(ISBLANK(D21),"",(TEXT(D21/24,"hh:mm"))&amp;" (hrs:mins)")</f>
        <v/>
      </c>
      <c r="E22" s="31" t="str">
        <f t="shared" si="0"/>
        <v/>
      </c>
      <c r="F22" s="31" t="str">
        <f t="shared" si="0"/>
        <v/>
      </c>
      <c r="G22" s="31" t="str">
        <f t="shared" si="0"/>
        <v/>
      </c>
      <c r="H22" s="31" t="str">
        <f t="shared" si="0"/>
        <v/>
      </c>
      <c r="I22" s="68" t="str">
        <f t="shared" si="0"/>
        <v/>
      </c>
      <c r="J22" s="69" t="str">
        <f t="shared" si="0"/>
        <v/>
      </c>
      <c r="K22" s="108"/>
      <c r="L22" s="15"/>
      <c r="N22" s="76"/>
      <c r="O22" s="76"/>
      <c r="P22" s="76"/>
      <c r="Q22" s="76"/>
      <c r="R22" s="76"/>
    </row>
    <row r="23" spans="2:18" ht="32.25" customHeight="1" x14ac:dyDescent="0.3">
      <c r="B23" s="14"/>
      <c r="C23" s="48"/>
      <c r="D23" s="112" t="str">
        <f>IF(K40="N","A shift pattern has not been entered, please enter above.","")</f>
        <v>A shift pattern has not been entered, please enter above.</v>
      </c>
      <c r="E23" s="112"/>
      <c r="F23" s="112"/>
      <c r="G23" s="112"/>
      <c r="H23" s="112"/>
      <c r="I23" s="112"/>
      <c r="J23" s="112"/>
      <c r="K23" s="112"/>
      <c r="L23" s="15"/>
      <c r="N23" s="77"/>
      <c r="O23" s="77"/>
      <c r="P23" s="77"/>
      <c r="Q23" s="77"/>
      <c r="R23" s="76"/>
    </row>
    <row r="24" spans="2:18" ht="18.75" x14ac:dyDescent="0.3">
      <c r="B24" s="14"/>
      <c r="C24" s="48"/>
      <c r="D24" s="39"/>
      <c r="E24" s="39"/>
      <c r="F24" s="39"/>
      <c r="G24" s="53" t="s">
        <v>17</v>
      </c>
      <c r="H24" s="39"/>
      <c r="I24" s="39"/>
      <c r="J24" s="39"/>
      <c r="K24" s="39"/>
      <c r="L24" s="15"/>
      <c r="N24" s="77"/>
      <c r="O24" s="77"/>
      <c r="P24" s="77"/>
      <c r="Q24" s="77"/>
      <c r="R24" s="76"/>
    </row>
    <row r="25" spans="2:18" x14ac:dyDescent="0.3">
      <c r="B25" s="14"/>
      <c r="C25" s="48"/>
      <c r="D25" s="17"/>
      <c r="E25" s="18"/>
      <c r="F25" s="18"/>
      <c r="G25" s="18"/>
      <c r="H25" s="19" t="s">
        <v>18</v>
      </c>
      <c r="I25" s="19" t="s">
        <v>74</v>
      </c>
      <c r="J25" s="20"/>
      <c r="K25" s="39"/>
      <c r="L25" s="15"/>
      <c r="N25" s="77"/>
      <c r="O25" s="77"/>
      <c r="P25" s="77"/>
      <c r="Q25" s="77"/>
      <c r="R25" s="76"/>
    </row>
    <row r="26" spans="2:18" ht="15" customHeight="1" x14ac:dyDescent="0.3">
      <c r="B26" s="14"/>
      <c r="C26" s="48"/>
      <c r="D26" s="21"/>
      <c r="E26" s="48"/>
      <c r="F26" s="48"/>
      <c r="G26" s="54" t="s">
        <v>19</v>
      </c>
      <c r="H26" s="40" t="str">
        <f>IFERROR(CEILING(O26,0.5),"")</f>
        <v/>
      </c>
      <c r="I26" s="72" t="str">
        <f>IFERROR(CEILING(H26/7,0.5),"")</f>
        <v/>
      </c>
      <c r="J26" s="22"/>
      <c r="K26" s="39"/>
      <c r="L26" s="15"/>
      <c r="N26" s="77"/>
      <c r="O26" s="77" t="str">
        <f>IF(ISBLANK(G6),"",(((Data!D5)/365*((Data!D2*7*H6)))))</f>
        <v/>
      </c>
      <c r="P26" s="77"/>
      <c r="Q26" s="77"/>
      <c r="R26" s="76"/>
    </row>
    <row r="27" spans="2:18" x14ac:dyDescent="0.3">
      <c r="B27" s="14"/>
      <c r="C27" s="48"/>
      <c r="D27" s="21"/>
      <c r="E27" s="48"/>
      <c r="F27" s="39"/>
      <c r="G27" s="54" t="s">
        <v>20</v>
      </c>
      <c r="H27" s="40" t="str">
        <f>IF(ISBLANK(K6),"",K6)</f>
        <v/>
      </c>
      <c r="I27" s="72" t="str">
        <f>IFERROR(CEILING(H27/7,0.5),"")</f>
        <v/>
      </c>
      <c r="J27" s="22"/>
      <c r="K27" s="39"/>
      <c r="L27" s="15"/>
      <c r="N27" s="77"/>
      <c r="O27" s="77"/>
      <c r="P27" s="77"/>
      <c r="Q27" s="77"/>
      <c r="R27" s="76"/>
    </row>
    <row r="28" spans="2:18" x14ac:dyDescent="0.3">
      <c r="B28" s="14"/>
      <c r="C28" s="48"/>
      <c r="D28" s="21"/>
      <c r="E28" s="48"/>
      <c r="F28" s="48"/>
      <c r="G28" s="54" t="s">
        <v>69</v>
      </c>
      <c r="H28" s="23" t="str">
        <f>IFERROR(CEILING(O28,0.5),"")</f>
        <v/>
      </c>
      <c r="I28" s="75" t="str">
        <f>IFERROR(CEILING(P28,0.5),"")</f>
        <v/>
      </c>
      <c r="J28" s="22"/>
      <c r="K28" s="39"/>
      <c r="L28" s="15"/>
      <c r="N28" s="77"/>
      <c r="O28" s="77" t="str">
        <f>(IF(ISBLANK(G6),"",H26+K6))</f>
        <v/>
      </c>
      <c r="P28" s="78" t="str">
        <f>IFERROR(H28/7,"")</f>
        <v/>
      </c>
      <c r="Q28" s="77"/>
      <c r="R28" s="76"/>
    </row>
    <row r="29" spans="2:18" x14ac:dyDescent="0.3">
      <c r="B29" s="14"/>
      <c r="C29" s="48"/>
      <c r="D29" s="21"/>
      <c r="E29" s="48"/>
      <c r="F29" s="48"/>
      <c r="G29" s="55"/>
      <c r="H29" s="56"/>
      <c r="I29" s="57"/>
      <c r="J29" s="48"/>
      <c r="K29" s="109" t="s">
        <v>75</v>
      </c>
      <c r="L29" s="15"/>
      <c r="N29" s="77"/>
      <c r="O29" s="77"/>
      <c r="P29" s="77"/>
      <c r="Q29" s="77"/>
      <c r="R29" s="76"/>
    </row>
    <row r="30" spans="2:18" x14ac:dyDescent="0.3">
      <c r="B30" s="14"/>
      <c r="C30" s="48"/>
      <c r="D30" s="21"/>
      <c r="E30" s="48"/>
      <c r="F30" s="48"/>
      <c r="G30" s="54" t="s">
        <v>21</v>
      </c>
      <c r="H30" s="71" t="str">
        <f>IF(ISBLANK(G6),"",H58)</f>
        <v/>
      </c>
      <c r="I30" s="72" t="str">
        <f>IFERROR(CEILING(H30/7,0.5),"")</f>
        <v/>
      </c>
      <c r="J30" s="48"/>
      <c r="K30" s="110"/>
      <c r="L30" s="15"/>
      <c r="N30" s="76"/>
      <c r="O30" s="76"/>
      <c r="P30" s="76"/>
      <c r="Q30" s="76"/>
      <c r="R30" s="76"/>
    </row>
    <row r="31" spans="2:18" ht="17.25" thickBot="1" x14ac:dyDescent="0.35">
      <c r="B31" s="14"/>
      <c r="C31" s="48"/>
      <c r="D31" s="21"/>
      <c r="E31" s="39"/>
      <c r="F31" s="39"/>
      <c r="G31" s="39"/>
      <c r="H31" s="39"/>
      <c r="I31" s="39"/>
      <c r="J31" s="48"/>
      <c r="K31" s="110"/>
      <c r="L31" s="15"/>
      <c r="N31" s="76"/>
      <c r="O31" s="76"/>
      <c r="P31" s="76"/>
      <c r="Q31" s="76"/>
      <c r="R31" s="76"/>
    </row>
    <row r="32" spans="2:18" ht="27.75" customHeight="1" thickBot="1" x14ac:dyDescent="0.35">
      <c r="B32" s="14"/>
      <c r="C32" s="48"/>
      <c r="D32" s="21"/>
      <c r="E32" s="102" t="s">
        <v>22</v>
      </c>
      <c r="F32" s="102"/>
      <c r="G32" s="102"/>
      <c r="H32" s="103"/>
      <c r="I32" s="104"/>
      <c r="J32" s="48"/>
      <c r="K32" s="110"/>
      <c r="L32" s="15"/>
      <c r="N32" s="76"/>
      <c r="O32" s="76"/>
      <c r="P32" s="76"/>
      <c r="Q32" s="76"/>
      <c r="R32" s="76"/>
    </row>
    <row r="33" spans="2:18" ht="16.5" customHeight="1" x14ac:dyDescent="0.3">
      <c r="B33" s="14"/>
      <c r="C33" s="48"/>
      <c r="D33" s="21"/>
      <c r="E33" s="48"/>
      <c r="F33" s="48"/>
      <c r="G33" s="48"/>
      <c r="H33" s="73" t="str">
        <f>IFERROR(H28-H30-H32,"")</f>
        <v/>
      </c>
      <c r="I33" s="73" t="str">
        <f>IFERROR(H34/7,"")</f>
        <v/>
      </c>
      <c r="J33" s="48"/>
      <c r="K33" s="110"/>
      <c r="L33" s="15"/>
      <c r="N33" s="76"/>
      <c r="O33" s="76"/>
      <c r="P33" s="76"/>
      <c r="Q33" s="76"/>
      <c r="R33" s="76"/>
    </row>
    <row r="34" spans="2:18" ht="16.5" customHeight="1" x14ac:dyDescent="0.3">
      <c r="B34" s="14"/>
      <c r="C34" s="48"/>
      <c r="D34" s="21"/>
      <c r="E34" s="58"/>
      <c r="F34" s="105" t="s">
        <v>23</v>
      </c>
      <c r="G34" s="105"/>
      <c r="H34" s="107" t="str">
        <f>IFERROR(CEILING(H33,0.5),"")</f>
        <v/>
      </c>
      <c r="I34" s="107" t="str">
        <f>IFERROR(CEILING(I33,0.5),"")</f>
        <v/>
      </c>
      <c r="J34" s="48"/>
      <c r="K34" s="110"/>
      <c r="L34" s="15"/>
    </row>
    <row r="35" spans="2:18" ht="12" customHeight="1" x14ac:dyDescent="0.3">
      <c r="B35" s="14"/>
      <c r="C35" s="48"/>
      <c r="D35" s="21"/>
      <c r="E35" s="48"/>
      <c r="F35" s="105"/>
      <c r="G35" s="105"/>
      <c r="H35" s="107"/>
      <c r="I35" s="107"/>
      <c r="J35" s="48"/>
      <c r="K35" s="110"/>
      <c r="L35" s="15"/>
    </row>
    <row r="36" spans="2:18" ht="2.25" customHeight="1" x14ac:dyDescent="0.3">
      <c r="B36" s="14"/>
      <c r="C36" s="48"/>
      <c r="D36" s="24"/>
      <c r="E36" s="48"/>
      <c r="F36" s="105"/>
      <c r="G36" s="105"/>
      <c r="H36" s="107"/>
      <c r="I36" s="107"/>
      <c r="J36" s="48"/>
      <c r="K36" s="110"/>
      <c r="L36" s="15"/>
    </row>
    <row r="37" spans="2:18" ht="16.5" customHeight="1" x14ac:dyDescent="0.3">
      <c r="B37" s="14"/>
      <c r="C37" s="48"/>
      <c r="D37" s="25"/>
      <c r="E37" s="26"/>
      <c r="F37" s="106"/>
      <c r="G37" s="106"/>
      <c r="H37" s="26"/>
      <c r="I37" s="26"/>
      <c r="J37" s="26"/>
      <c r="K37" s="111"/>
      <c r="L37" s="15"/>
    </row>
    <row r="38" spans="2:18" ht="16.5" customHeight="1" x14ac:dyDescent="0.3">
      <c r="B38" s="14"/>
      <c r="C38" s="48"/>
      <c r="D38" s="39"/>
      <c r="E38" s="48"/>
      <c r="F38" s="48"/>
      <c r="G38" s="48"/>
      <c r="H38" s="48"/>
      <c r="I38" s="48"/>
      <c r="J38" s="48"/>
      <c r="K38" s="48"/>
      <c r="L38" s="15"/>
    </row>
    <row r="39" spans="2:18" ht="18.75" x14ac:dyDescent="0.3">
      <c r="B39" s="14"/>
      <c r="C39" s="48"/>
      <c r="D39" s="95" t="s">
        <v>24</v>
      </c>
      <c r="E39" s="95"/>
      <c r="F39" s="95"/>
      <c r="G39" s="95"/>
      <c r="H39" s="95"/>
      <c r="I39" s="39"/>
      <c r="J39" s="39"/>
      <c r="K39" s="39"/>
      <c r="L39" s="15"/>
    </row>
    <row r="40" spans="2:18" x14ac:dyDescent="0.3">
      <c r="B40" s="14"/>
      <c r="C40" s="48"/>
      <c r="D40" s="27" t="s">
        <v>25</v>
      </c>
      <c r="E40" s="27" t="s">
        <v>26</v>
      </c>
      <c r="F40" s="27" t="s">
        <v>27</v>
      </c>
      <c r="G40" s="27" t="s">
        <v>28</v>
      </c>
      <c r="H40" s="27" t="s">
        <v>29</v>
      </c>
      <c r="I40" s="39"/>
      <c r="K40" s="73" t="str">
        <f>IF(SUM(D21:J21)&gt;0,"Y","N")</f>
        <v>N</v>
      </c>
      <c r="L40" s="15"/>
    </row>
    <row r="41" spans="2:18" x14ac:dyDescent="0.3">
      <c r="B41" s="14"/>
      <c r="C41" s="48"/>
      <c r="D41" s="28">
        <f>Data!A8</f>
        <v>45658</v>
      </c>
      <c r="E41" s="29">
        <f>Data!B8</f>
        <v>45658</v>
      </c>
      <c r="F41" s="30" t="str">
        <f>Data!E8</f>
        <v>New Year's Day</v>
      </c>
      <c r="G41" s="30" t="str">
        <f>Data!F8</f>
        <v>Bank Holiday</v>
      </c>
      <c r="H41" s="31">
        <f>Data!I8</f>
        <v>0</v>
      </c>
      <c r="I41" s="59" t="str">
        <f>IF(D41&gt;Data!$B$5,"After leave date",(IF(Calculator!D41&lt;Data!$A$5,"Before start date","")))</f>
        <v/>
      </c>
      <c r="K41" s="39"/>
      <c r="L41" s="15"/>
    </row>
    <row r="42" spans="2:18" x14ac:dyDescent="0.3">
      <c r="B42" s="14"/>
      <c r="C42" s="48"/>
      <c r="D42" s="28">
        <f>Data!A9</f>
        <v>45764</v>
      </c>
      <c r="E42" s="29">
        <f>Data!B9</f>
        <v>45764</v>
      </c>
      <c r="F42" s="30" t="str">
        <f>Data!E9</f>
        <v>Spring Break</v>
      </c>
      <c r="G42" s="30" t="s">
        <v>30</v>
      </c>
      <c r="H42" s="31">
        <f>Data!I9</f>
        <v>0</v>
      </c>
      <c r="I42" s="59" t="str">
        <f>IF(D42&gt;Data!$B$5,"After leave date",(IF(Calculator!D42&lt;Data!$A$5,"Before start date","")))</f>
        <v/>
      </c>
      <c r="J42" s="39"/>
      <c r="K42" s="39"/>
      <c r="L42" s="15"/>
    </row>
    <row r="43" spans="2:18" x14ac:dyDescent="0.3">
      <c r="B43" s="14"/>
      <c r="C43" s="48"/>
      <c r="D43" s="28">
        <f>Data!A10</f>
        <v>45765</v>
      </c>
      <c r="E43" s="29">
        <f>Data!B10</f>
        <v>45765</v>
      </c>
      <c r="F43" s="30" t="str">
        <f>Data!E10</f>
        <v>Good Friday</v>
      </c>
      <c r="G43" s="30" t="str">
        <f>Data!F10</f>
        <v>Bank Holiday</v>
      </c>
      <c r="H43" s="31">
        <f>Data!I10</f>
        <v>0</v>
      </c>
      <c r="I43" s="59" t="str">
        <f>IF(D43&gt;Data!$B$5,"After leave date",(IF(Calculator!D43&lt;Data!$A$5,"Before start date","")))</f>
        <v/>
      </c>
      <c r="J43" s="39"/>
      <c r="K43" s="39"/>
      <c r="L43" s="15"/>
    </row>
    <row r="44" spans="2:18" ht="16.5" customHeight="1" x14ac:dyDescent="0.3">
      <c r="B44" s="14"/>
      <c r="C44" s="48"/>
      <c r="D44" s="28">
        <f>Data!A11</f>
        <v>45768</v>
      </c>
      <c r="E44" s="29">
        <f>Data!B11</f>
        <v>45768</v>
      </c>
      <c r="F44" s="30" t="str">
        <f>Data!E11</f>
        <v>Easter Monday</v>
      </c>
      <c r="G44" s="30" t="s">
        <v>31</v>
      </c>
      <c r="H44" s="31">
        <f>Data!I11</f>
        <v>0</v>
      </c>
      <c r="K44" s="39"/>
      <c r="L44" s="15"/>
    </row>
    <row r="45" spans="2:18" ht="16.5" customHeight="1" x14ac:dyDescent="0.3">
      <c r="B45" s="14"/>
      <c r="C45" s="48"/>
      <c r="D45" s="28">
        <f>Data!A12</f>
        <v>45769</v>
      </c>
      <c r="E45" s="29">
        <f>Data!B12</f>
        <v>45769</v>
      </c>
      <c r="F45" s="30" t="str">
        <f>Data!E12</f>
        <v>Spring Break</v>
      </c>
      <c r="G45" s="30" t="str">
        <f>Data!F12</f>
        <v>Closure Day</v>
      </c>
      <c r="H45" s="31">
        <f>Data!I12</f>
        <v>0</v>
      </c>
      <c r="I45" s="59" t="str">
        <f>IF(D45&gt;Data!$B$5,"After leave date",(IF(Calculator!D45&lt;Data!$A$5,"Before start date","")))</f>
        <v/>
      </c>
      <c r="J45" s="74"/>
      <c r="K45" s="39"/>
      <c r="L45" s="15"/>
    </row>
    <row r="46" spans="2:18" ht="16.5" customHeight="1" x14ac:dyDescent="0.3">
      <c r="B46" s="14"/>
      <c r="C46" s="48"/>
      <c r="D46" s="28">
        <f>Data!A13</f>
        <v>45770</v>
      </c>
      <c r="E46" s="29">
        <f>Data!B13</f>
        <v>45770</v>
      </c>
      <c r="F46" s="30" t="str">
        <f>Data!E13</f>
        <v>Spring Break</v>
      </c>
      <c r="G46" s="30" t="str">
        <f>Data!F13</f>
        <v>Closure Day</v>
      </c>
      <c r="H46" s="31">
        <f>Data!I13</f>
        <v>0</v>
      </c>
      <c r="I46" s="59" t="str">
        <f>IF(D46&gt;Data!$B$5,"After leave date",(IF(Calculator!D46&lt;Data!$A$5,"Before start date","")))</f>
        <v/>
      </c>
      <c r="J46" s="74"/>
      <c r="K46" s="39"/>
      <c r="L46" s="15"/>
    </row>
    <row r="47" spans="2:18" ht="16.5" customHeight="1" x14ac:dyDescent="0.3">
      <c r="B47" s="14"/>
      <c r="C47" s="48"/>
      <c r="D47" s="28">
        <f>Data!A14</f>
        <v>45782</v>
      </c>
      <c r="E47" s="29">
        <f>Data!B14</f>
        <v>45782</v>
      </c>
      <c r="F47" s="30" t="str">
        <f>Data!E14</f>
        <v>May Bank Holiday</v>
      </c>
      <c r="G47" s="30" t="str">
        <f>Data!F14</f>
        <v>Bank Holiday</v>
      </c>
      <c r="H47" s="31">
        <f>Data!I14</f>
        <v>0</v>
      </c>
      <c r="I47" s="59" t="str">
        <f>IF(D47&gt;Data!$B$5,"After leave date",(IF(Calculator!D47&lt;Data!$A$5,"Before start date","")))</f>
        <v/>
      </c>
      <c r="J47" s="74"/>
      <c r="K47" s="39"/>
      <c r="L47" s="15"/>
    </row>
    <row r="48" spans="2:18" ht="16.5" customHeight="1" x14ac:dyDescent="0.3">
      <c r="B48" s="14"/>
      <c r="C48" s="48"/>
      <c r="D48" s="28">
        <f>Data!A15</f>
        <v>45803</v>
      </c>
      <c r="E48" s="29">
        <f>Data!B15</f>
        <v>45803</v>
      </c>
      <c r="F48" s="30" t="str">
        <f>Data!E15</f>
        <v>Spring Bank Holiday</v>
      </c>
      <c r="G48" s="30" t="str">
        <f>Data!F15</f>
        <v>Bank Holiday</v>
      </c>
      <c r="H48" s="31">
        <f>Data!I15</f>
        <v>0</v>
      </c>
      <c r="I48" s="59" t="str">
        <f>IF(D48&gt;Data!$B$5,"After leave date",(IF(Calculator!D48&lt;Data!$A$5,"Before start date","")))</f>
        <v/>
      </c>
      <c r="J48" s="74"/>
      <c r="K48" s="39"/>
      <c r="L48" s="15"/>
    </row>
    <row r="49" spans="2:12" ht="16.5" customHeight="1" x14ac:dyDescent="0.3">
      <c r="B49" s="14"/>
      <c r="C49" s="48"/>
      <c r="D49" s="28">
        <f>Data!A16</f>
        <v>45894</v>
      </c>
      <c r="E49" s="29">
        <f>Data!B16</f>
        <v>45894</v>
      </c>
      <c r="F49" s="30" t="str">
        <f>Data!E16</f>
        <v>Summer Bank Holiday</v>
      </c>
      <c r="G49" s="30" t="str">
        <f>Data!F16</f>
        <v>Bank Holiday</v>
      </c>
      <c r="H49" s="31">
        <f>Data!I16</f>
        <v>0</v>
      </c>
      <c r="I49" s="59" t="str">
        <f>IF(D49&gt;Data!$B$5,"After leave date",(IF(Calculator!D49&lt;Data!$A$5,"Before start date","")))</f>
        <v/>
      </c>
      <c r="J49" s="74"/>
      <c r="K49" s="39"/>
      <c r="L49" s="15"/>
    </row>
    <row r="50" spans="2:12" ht="16.5" customHeight="1" x14ac:dyDescent="0.3">
      <c r="B50" s="14"/>
      <c r="C50" s="48"/>
      <c r="D50" s="28">
        <f>Data!A17</f>
        <v>46014</v>
      </c>
      <c r="E50" s="29">
        <f>Data!B17</f>
        <v>46014</v>
      </c>
      <c r="F50" s="30" t="str">
        <f>Data!E17</f>
        <v>Winter Break</v>
      </c>
      <c r="G50" s="30" t="s">
        <v>30</v>
      </c>
      <c r="H50" s="31">
        <f>Data!I17</f>
        <v>0</v>
      </c>
      <c r="I50" s="59" t="str">
        <f>IF(D50&gt;Data!$B$5,"After leave date",(IF(Calculator!D50&lt;Data!$A$5,"Before start date","")))</f>
        <v/>
      </c>
      <c r="J50" s="74"/>
      <c r="K50" s="39"/>
      <c r="L50" s="15"/>
    </row>
    <row r="51" spans="2:12" ht="16.5" customHeight="1" x14ac:dyDescent="0.3">
      <c r="B51" s="14"/>
      <c r="C51" s="48"/>
      <c r="D51" s="28">
        <f>Data!A18</f>
        <v>46015</v>
      </c>
      <c r="E51" s="29">
        <f>Data!B18</f>
        <v>46015</v>
      </c>
      <c r="F51" s="30" t="str">
        <f>Data!E18</f>
        <v>Winter Break</v>
      </c>
      <c r="G51" s="30" t="s">
        <v>30</v>
      </c>
      <c r="H51" s="31">
        <f>Data!I18</f>
        <v>0</v>
      </c>
      <c r="I51" s="59" t="str">
        <f>IF(D51&gt;Data!$B$5,"After leave date",(IF(Calculator!D51&lt;Data!$A$5,"Before start date","")))</f>
        <v/>
      </c>
      <c r="J51" s="74"/>
      <c r="K51" s="39"/>
      <c r="L51" s="15"/>
    </row>
    <row r="52" spans="2:12" x14ac:dyDescent="0.3">
      <c r="B52" s="14"/>
      <c r="C52" s="48"/>
      <c r="D52" s="28">
        <f>Data!A19</f>
        <v>46016</v>
      </c>
      <c r="E52" s="29">
        <f>Data!B19</f>
        <v>46016</v>
      </c>
      <c r="F52" s="30" t="str">
        <f>Data!E19</f>
        <v>Winter Break</v>
      </c>
      <c r="G52" s="30" t="str">
        <f>Data!F19</f>
        <v>Bank Holiday</v>
      </c>
      <c r="H52" s="31">
        <f>Data!I19</f>
        <v>0</v>
      </c>
      <c r="I52" s="59" t="str">
        <f>IF(D52&gt;Data!$B$5,"After leave date",(IF(Calculator!D52&lt;Data!$A$5,"Before start date","")))</f>
        <v/>
      </c>
      <c r="J52" s="39"/>
      <c r="K52" s="39"/>
      <c r="L52" s="15"/>
    </row>
    <row r="53" spans="2:12" x14ac:dyDescent="0.3">
      <c r="B53" s="14"/>
      <c r="C53" s="48"/>
      <c r="D53" s="28">
        <f>Data!A20</f>
        <v>46017</v>
      </c>
      <c r="E53" s="29">
        <f>Data!B20</f>
        <v>46017</v>
      </c>
      <c r="F53" s="30" t="str">
        <f>Data!E20</f>
        <v>Winter Break</v>
      </c>
      <c r="G53" s="30" t="str">
        <f>Data!F20</f>
        <v>Bank Holiday</v>
      </c>
      <c r="H53" s="31">
        <f>Data!I20</f>
        <v>0</v>
      </c>
      <c r="I53" s="59" t="str">
        <f>IF(D53&gt;Data!$B$5,"After leave date",(IF(Calculator!D53&lt;Data!$A$5,"Before start date","")))</f>
        <v/>
      </c>
      <c r="J53" s="39"/>
      <c r="K53" s="39"/>
      <c r="L53" s="15"/>
    </row>
    <row r="54" spans="2:12" x14ac:dyDescent="0.3">
      <c r="B54" s="14"/>
      <c r="C54" s="48"/>
      <c r="D54" s="28">
        <f>Data!A21</f>
        <v>46020</v>
      </c>
      <c r="E54" s="29">
        <f>Data!B21</f>
        <v>46020</v>
      </c>
      <c r="F54" s="30" t="str">
        <f>Data!E21</f>
        <v>Winter Break</v>
      </c>
      <c r="G54" s="30" t="s">
        <v>30</v>
      </c>
      <c r="H54" s="31">
        <f>Data!I21</f>
        <v>0</v>
      </c>
      <c r="I54" s="59" t="str">
        <f>IF(D54&gt;Data!$B$5,"After leave date",(IF(Calculator!D54&lt;Data!$A$5,"Before start date","")))</f>
        <v/>
      </c>
      <c r="J54" s="39"/>
      <c r="K54" s="39"/>
      <c r="L54" s="15"/>
    </row>
    <row r="55" spans="2:12" x14ac:dyDescent="0.3">
      <c r="B55" s="32"/>
      <c r="C55" s="39"/>
      <c r="D55" s="28">
        <f>Data!A22</f>
        <v>46021</v>
      </c>
      <c r="E55" s="29">
        <f>Data!B22</f>
        <v>46021</v>
      </c>
      <c r="F55" s="30" t="str">
        <f>Data!E22</f>
        <v>Winter Break</v>
      </c>
      <c r="G55" s="30" t="s">
        <v>30</v>
      </c>
      <c r="H55" s="31">
        <f>Data!I22</f>
        <v>0</v>
      </c>
      <c r="I55" s="59" t="str">
        <f>IF(D55&gt;Data!$B$5,"After leave date",(IF(Calculator!D55&lt;Data!$A$5,"Before start date","")))</f>
        <v/>
      </c>
      <c r="J55" s="39"/>
      <c r="K55" s="39"/>
      <c r="L55" s="15"/>
    </row>
    <row r="56" spans="2:12" x14ac:dyDescent="0.3">
      <c r="B56" s="32"/>
      <c r="C56" s="39"/>
      <c r="D56" s="28">
        <f>Data!A23</f>
        <v>46022</v>
      </c>
      <c r="E56" s="29">
        <f>Data!B23</f>
        <v>46022</v>
      </c>
      <c r="F56" s="30" t="str">
        <f>Data!E23</f>
        <v>Winter Break</v>
      </c>
      <c r="G56" s="30" t="s">
        <v>30</v>
      </c>
      <c r="H56" s="31">
        <f>Data!I23</f>
        <v>0</v>
      </c>
      <c r="I56" s="59" t="str">
        <f>IF(D56&gt;Data!$B$5,"After leave date",(IF(Calculator!D56&lt;Data!$A$5,"Before start date","")))</f>
        <v/>
      </c>
      <c r="J56" s="39"/>
      <c r="K56" s="39"/>
      <c r="L56" s="15"/>
    </row>
    <row r="57" spans="2:12" x14ac:dyDescent="0.3">
      <c r="B57" s="32"/>
      <c r="C57" s="39"/>
      <c r="D57" s="39"/>
      <c r="E57" s="39"/>
      <c r="F57" s="39"/>
      <c r="G57" s="39"/>
      <c r="H57" s="39"/>
      <c r="I57" s="39"/>
      <c r="J57" s="39"/>
      <c r="K57" s="39"/>
      <c r="L57" s="15"/>
    </row>
    <row r="58" spans="2:12" x14ac:dyDescent="0.3">
      <c r="B58" s="32"/>
      <c r="C58" s="39"/>
      <c r="D58" s="39"/>
      <c r="E58" s="39"/>
      <c r="F58" s="39"/>
      <c r="G58" s="43" t="s">
        <v>32</v>
      </c>
      <c r="H58" s="31">
        <f>SUM(H41:H56)</f>
        <v>0</v>
      </c>
      <c r="I58" s="39"/>
      <c r="J58" s="39"/>
      <c r="K58" s="39"/>
      <c r="L58" s="15"/>
    </row>
    <row r="59" spans="2:12" ht="8.25" customHeight="1" thickBot="1" x14ac:dyDescent="0.35">
      <c r="B59" s="33"/>
      <c r="C59" s="34"/>
      <c r="D59" s="34"/>
      <c r="E59" s="34"/>
      <c r="F59" s="34"/>
      <c r="G59" s="34"/>
      <c r="H59" s="34"/>
      <c r="I59" s="34"/>
      <c r="J59" s="34"/>
      <c r="K59" s="34"/>
      <c r="L59" s="35"/>
    </row>
  </sheetData>
  <sheetProtection algorithmName="SHA-512" hashValue="gtx4O9ru+OMCh/IFe5jhgNQF3OqI1Qms53JMLJZPyjGqlygt547/W9Ea0GYJc+MIq0mbajOCHFmklnjYCE91lA==" saltValue="diRR9CBJq3aXub5+6xlvog==" spinCount="100000" sheet="1" objects="1" scenarios="1"/>
  <mergeCells count="19">
    <mergeCell ref="D39:H39"/>
    <mergeCell ref="B14:L15"/>
    <mergeCell ref="E32:G32"/>
    <mergeCell ref="H32:I32"/>
    <mergeCell ref="F34:G37"/>
    <mergeCell ref="H34:H36"/>
    <mergeCell ref="I34:I36"/>
    <mergeCell ref="K21:K22"/>
    <mergeCell ref="K29:K37"/>
    <mergeCell ref="D23:K23"/>
    <mergeCell ref="B8:L9"/>
    <mergeCell ref="B3:L3"/>
    <mergeCell ref="F4:J4"/>
    <mergeCell ref="M6:Q6"/>
    <mergeCell ref="O4:Q4"/>
    <mergeCell ref="O5:Q5"/>
    <mergeCell ref="M5:N5"/>
    <mergeCell ref="M4:N4"/>
    <mergeCell ref="I6:J6"/>
  </mergeCells>
  <conditionalFormatting sqref="K21">
    <cfRule type="cellIs" dxfId="0" priority="1" operator="equal">
      <formula>$G$6</formula>
    </cfRule>
  </conditionalFormatting>
  <pageMargins left="0.7" right="0.7" top="0.75" bottom="0.75" header="0.3" footer="0.3"/>
  <pageSetup paperSize="9" orientation="portrait" horizontalDpi="4294967293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8179D54F-A789-4266-8875-F9545C1F5D7B}">
          <x14:formula1>
            <xm:f>Data!$A$31:$A$33</xm:f>
          </x14:formula1>
          <xm:sqref>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33"/>
  <sheetViews>
    <sheetView showGridLines="0" workbookViewId="0">
      <selection activeCell="A37" sqref="A37"/>
    </sheetView>
  </sheetViews>
  <sheetFormatPr defaultRowHeight="15" x14ac:dyDescent="0.25"/>
  <cols>
    <col min="1" max="1" width="28.7109375" customWidth="1"/>
    <col min="2" max="2" width="20.7109375" customWidth="1"/>
    <col min="3" max="3" width="30.42578125" bestFit="1" customWidth="1"/>
    <col min="4" max="4" width="25.5703125" bestFit="1" customWidth="1"/>
    <col min="5" max="5" width="22" bestFit="1" customWidth="1"/>
    <col min="6" max="6" width="14.85546875" bestFit="1" customWidth="1"/>
    <col min="7" max="7" width="9.85546875" bestFit="1" customWidth="1"/>
    <col min="8" max="8" width="17.5703125" bestFit="1" customWidth="1"/>
    <col min="9" max="9" width="16.85546875" bestFit="1" customWidth="1"/>
    <col min="10" max="12" width="11.42578125" bestFit="1" customWidth="1"/>
    <col min="13" max="15" width="12.42578125" bestFit="1" customWidth="1"/>
  </cols>
  <sheetData>
    <row r="1" spans="1:9" s="1" customFormat="1" x14ac:dyDescent="0.25">
      <c r="A1" s="2"/>
      <c r="B1" s="2" t="s">
        <v>33</v>
      </c>
      <c r="C1" s="2" t="s">
        <v>34</v>
      </c>
      <c r="D1" s="2" t="s">
        <v>35</v>
      </c>
    </row>
    <row r="2" spans="1:9" x14ac:dyDescent="0.25">
      <c r="A2" s="3" t="s">
        <v>36</v>
      </c>
      <c r="B2" s="3">
        <f>IF(Calculator!E6="Standard Terms (41 Days)",25,IF(Calculator!E6="EX-CRA Terms (39 Days)",23,IF(Calculator!E6="Standard  + Fire Warden (42 Days)",26,"")))</f>
        <v>25</v>
      </c>
      <c r="C2" s="3">
        <v>16</v>
      </c>
      <c r="D2" s="3">
        <f t="shared" ref="D2" si="0">B2+C2</f>
        <v>41</v>
      </c>
      <c r="F2">
        <f>IF(ISBLANK(Calculator!G6),36)</f>
        <v>36</v>
      </c>
    </row>
    <row r="3" spans="1:9" x14ac:dyDescent="0.25">
      <c r="B3" t="s">
        <v>37</v>
      </c>
      <c r="D3" t="s">
        <v>38</v>
      </c>
    </row>
    <row r="4" spans="1:9" s="1" customFormat="1" x14ac:dyDescent="0.25">
      <c r="A4" s="2" t="s">
        <v>39</v>
      </c>
      <c r="B4" s="2" t="s">
        <v>40</v>
      </c>
      <c r="C4" s="2" t="s">
        <v>41</v>
      </c>
      <c r="D4" s="2" t="s">
        <v>42</v>
      </c>
      <c r="E4" s="2" t="s">
        <v>39</v>
      </c>
      <c r="F4" s="2" t="s">
        <v>40</v>
      </c>
    </row>
    <row r="5" spans="1:9" x14ac:dyDescent="0.25">
      <c r="A5" s="4">
        <f>IF(ISBLANK(Calculator!G11),DATEVALUE("01/01/2025"),Calculator!G11)</f>
        <v>45658</v>
      </c>
      <c r="B5" s="4">
        <f>IF(ISBLANK(Calculator!G12),DATEVALUE("31/12/2025"),Calculator!G12)</f>
        <v>46022</v>
      </c>
      <c r="C5" s="5">
        <f>DATEDIF(A5,B5,"D")+1</f>
        <v>365</v>
      </c>
      <c r="D5" s="5">
        <f>IF(C5&gt;365,365,C5)</f>
        <v>365</v>
      </c>
      <c r="E5" s="4">
        <v>45658</v>
      </c>
      <c r="F5" s="4">
        <v>46022</v>
      </c>
    </row>
    <row r="6" spans="1:9" x14ac:dyDescent="0.25">
      <c r="A6" t="s">
        <v>43</v>
      </c>
      <c r="B6" t="s">
        <v>44</v>
      </c>
      <c r="C6" t="s">
        <v>45</v>
      </c>
      <c r="E6" t="s">
        <v>46</v>
      </c>
      <c r="F6" t="s">
        <v>47</v>
      </c>
    </row>
    <row r="7" spans="1:9" x14ac:dyDescent="0.25">
      <c r="A7" s="6" t="s">
        <v>25</v>
      </c>
      <c r="B7" s="6" t="s">
        <v>26</v>
      </c>
      <c r="C7" s="6" t="s">
        <v>48</v>
      </c>
      <c r="D7" s="6" t="s">
        <v>49</v>
      </c>
      <c r="E7" s="6" t="s">
        <v>27</v>
      </c>
      <c r="F7" s="6" t="s">
        <v>28</v>
      </c>
      <c r="G7" s="6" t="s">
        <v>50</v>
      </c>
      <c r="H7" s="6" t="s">
        <v>51</v>
      </c>
      <c r="I7" s="6" t="s">
        <v>52</v>
      </c>
    </row>
    <row r="8" spans="1:9" x14ac:dyDescent="0.25">
      <c r="A8" s="7">
        <v>45658</v>
      </c>
      <c r="B8" s="8">
        <f>A8</f>
        <v>45658</v>
      </c>
      <c r="C8" s="9">
        <f>WEEKDAY(B8,2)</f>
        <v>3</v>
      </c>
      <c r="D8" s="9">
        <f>HLOOKUP($C8,Calculator!$D$19:$J$21,3,FALSE)</f>
        <v>0</v>
      </c>
      <c r="E8" s="9" t="s">
        <v>53</v>
      </c>
      <c r="F8" s="9" t="s">
        <v>31</v>
      </c>
      <c r="G8" s="3" t="b">
        <f>AND(A8&gt;=$A$5,A8&lt;=$B$5)</f>
        <v>1</v>
      </c>
      <c r="H8" s="3" t="str">
        <f>IF(G8=TRUE,"1","0")</f>
        <v>1</v>
      </c>
      <c r="I8" s="3">
        <f>D8*H8</f>
        <v>0</v>
      </c>
    </row>
    <row r="9" spans="1:9" x14ac:dyDescent="0.25">
      <c r="A9" s="7">
        <v>45764</v>
      </c>
      <c r="B9" s="8">
        <f t="shared" ref="B9" si="1">A9</f>
        <v>45764</v>
      </c>
      <c r="C9" s="9">
        <f t="shared" ref="C9" si="2">WEEKDAY(B9,2)</f>
        <v>4</v>
      </c>
      <c r="D9" s="9">
        <f>HLOOKUP($C9,Calculator!$D$19:$J$21,3,FALSE)</f>
        <v>0</v>
      </c>
      <c r="E9" s="9" t="s">
        <v>54</v>
      </c>
      <c r="F9" s="9" t="s">
        <v>30</v>
      </c>
      <c r="G9" s="3" t="b">
        <f t="shared" ref="G9" si="3">AND(A9&gt;=$A$5,A9&lt;=$B$5)</f>
        <v>1</v>
      </c>
      <c r="H9" s="3" t="str">
        <f t="shared" ref="H9" si="4">IF(G9=TRUE,"1","0")</f>
        <v>1</v>
      </c>
      <c r="I9" s="3">
        <f t="shared" ref="I9" si="5">D9*H9</f>
        <v>0</v>
      </c>
    </row>
    <row r="10" spans="1:9" x14ac:dyDescent="0.25">
      <c r="A10" s="7">
        <v>45765</v>
      </c>
      <c r="B10" s="8">
        <f t="shared" ref="B10:B18" si="6">A10</f>
        <v>45765</v>
      </c>
      <c r="C10" s="9">
        <f t="shared" ref="C10:C18" si="7">WEEKDAY(B10,2)</f>
        <v>5</v>
      </c>
      <c r="D10" s="9">
        <f>HLOOKUP($C10,Calculator!$D$19:$J$21,3,FALSE)</f>
        <v>0</v>
      </c>
      <c r="E10" s="9" t="s">
        <v>55</v>
      </c>
      <c r="F10" s="9" t="s">
        <v>31</v>
      </c>
      <c r="G10" s="3" t="b">
        <f t="shared" ref="G10:G18" si="8">AND(A10&gt;=$A$5,A10&lt;=$B$5)</f>
        <v>1</v>
      </c>
      <c r="H10" s="3" t="str">
        <f t="shared" ref="H10:H18" si="9">IF(G10=TRUE,"1","0")</f>
        <v>1</v>
      </c>
      <c r="I10" s="3">
        <f t="shared" ref="I10:I18" si="10">D10*H10</f>
        <v>0</v>
      </c>
    </row>
    <row r="11" spans="1:9" x14ac:dyDescent="0.25">
      <c r="A11" s="7">
        <v>45768</v>
      </c>
      <c r="B11" s="8">
        <f t="shared" si="6"/>
        <v>45768</v>
      </c>
      <c r="C11" s="9">
        <f t="shared" si="7"/>
        <v>1</v>
      </c>
      <c r="D11" s="9">
        <f>HLOOKUP($C11,Calculator!$D$19:$J$21,3,FALSE)</f>
        <v>0</v>
      </c>
      <c r="E11" s="9" t="s">
        <v>56</v>
      </c>
      <c r="F11" s="9" t="s">
        <v>31</v>
      </c>
      <c r="G11" s="3" t="b">
        <f t="shared" si="8"/>
        <v>1</v>
      </c>
      <c r="H11" s="3" t="str">
        <f t="shared" si="9"/>
        <v>1</v>
      </c>
      <c r="I11" s="3">
        <f t="shared" si="10"/>
        <v>0</v>
      </c>
    </row>
    <row r="12" spans="1:9" x14ac:dyDescent="0.25">
      <c r="A12" s="7">
        <v>45769</v>
      </c>
      <c r="B12" s="8">
        <f t="shared" si="6"/>
        <v>45769</v>
      </c>
      <c r="C12" s="9">
        <f t="shared" si="7"/>
        <v>2</v>
      </c>
      <c r="D12" s="9">
        <f>HLOOKUP($C12,Calculator!$D$19:$J$21,3,FALSE)</f>
        <v>0</v>
      </c>
      <c r="E12" s="9" t="s">
        <v>54</v>
      </c>
      <c r="F12" s="9" t="s">
        <v>30</v>
      </c>
      <c r="G12" s="3" t="b">
        <f t="shared" si="8"/>
        <v>1</v>
      </c>
      <c r="H12" s="3" t="str">
        <f t="shared" si="9"/>
        <v>1</v>
      </c>
      <c r="I12" s="3">
        <f t="shared" si="10"/>
        <v>0</v>
      </c>
    </row>
    <row r="13" spans="1:9" x14ac:dyDescent="0.25">
      <c r="A13" s="7">
        <v>45770</v>
      </c>
      <c r="B13" s="8">
        <f t="shared" si="6"/>
        <v>45770</v>
      </c>
      <c r="C13" s="9">
        <f t="shared" si="7"/>
        <v>3</v>
      </c>
      <c r="D13" s="9">
        <f>HLOOKUP($C13,Calculator!$D$19:$J$21,3,FALSE)</f>
        <v>0</v>
      </c>
      <c r="E13" s="9" t="s">
        <v>54</v>
      </c>
      <c r="F13" s="9" t="s">
        <v>30</v>
      </c>
      <c r="G13" s="3" t="b">
        <f t="shared" si="8"/>
        <v>1</v>
      </c>
      <c r="H13" s="3" t="str">
        <f t="shared" si="9"/>
        <v>1</v>
      </c>
      <c r="I13" s="3">
        <f t="shared" si="10"/>
        <v>0</v>
      </c>
    </row>
    <row r="14" spans="1:9" x14ac:dyDescent="0.25">
      <c r="A14" s="7">
        <v>45782</v>
      </c>
      <c r="B14" s="8">
        <f t="shared" si="6"/>
        <v>45782</v>
      </c>
      <c r="C14" s="9">
        <f t="shared" si="7"/>
        <v>1</v>
      </c>
      <c r="D14" s="9">
        <f>HLOOKUP($C14,Calculator!$D$19:$J$21,3,FALSE)</f>
        <v>0</v>
      </c>
      <c r="E14" s="9" t="s">
        <v>57</v>
      </c>
      <c r="F14" s="9" t="s">
        <v>31</v>
      </c>
      <c r="G14" s="3" t="b">
        <f t="shared" si="8"/>
        <v>1</v>
      </c>
      <c r="H14" s="3" t="str">
        <f t="shared" si="9"/>
        <v>1</v>
      </c>
      <c r="I14" s="3">
        <f t="shared" si="10"/>
        <v>0</v>
      </c>
    </row>
    <row r="15" spans="1:9" x14ac:dyDescent="0.25">
      <c r="A15" s="7">
        <v>45803</v>
      </c>
      <c r="B15" s="8">
        <f t="shared" si="6"/>
        <v>45803</v>
      </c>
      <c r="C15" s="9">
        <f t="shared" si="7"/>
        <v>1</v>
      </c>
      <c r="D15" s="9">
        <f>HLOOKUP($C15,Calculator!$D$19:$J$21,3,FALSE)</f>
        <v>0</v>
      </c>
      <c r="E15" s="9" t="s">
        <v>58</v>
      </c>
      <c r="F15" s="9" t="s">
        <v>31</v>
      </c>
      <c r="G15" s="3" t="b">
        <f t="shared" si="8"/>
        <v>1</v>
      </c>
      <c r="H15" s="3" t="str">
        <f t="shared" si="9"/>
        <v>1</v>
      </c>
      <c r="I15" s="3">
        <f t="shared" si="10"/>
        <v>0</v>
      </c>
    </row>
    <row r="16" spans="1:9" x14ac:dyDescent="0.25">
      <c r="A16" s="7">
        <v>45894</v>
      </c>
      <c r="B16" s="8">
        <f t="shared" si="6"/>
        <v>45894</v>
      </c>
      <c r="C16" s="9">
        <f t="shared" si="7"/>
        <v>1</v>
      </c>
      <c r="D16" s="9">
        <f>HLOOKUP($C16,Calculator!$D$19:$J$21,3,FALSE)</f>
        <v>0</v>
      </c>
      <c r="E16" s="9" t="s">
        <v>59</v>
      </c>
      <c r="F16" s="9" t="s">
        <v>31</v>
      </c>
      <c r="G16" s="3" t="b">
        <f t="shared" si="8"/>
        <v>1</v>
      </c>
      <c r="H16" s="3" t="str">
        <f t="shared" si="9"/>
        <v>1</v>
      </c>
      <c r="I16" s="3">
        <f t="shared" si="10"/>
        <v>0</v>
      </c>
    </row>
    <row r="17" spans="1:9" x14ac:dyDescent="0.25">
      <c r="A17" s="7">
        <v>46014</v>
      </c>
      <c r="B17" s="8">
        <f t="shared" si="6"/>
        <v>46014</v>
      </c>
      <c r="C17" s="9">
        <f t="shared" si="7"/>
        <v>2</v>
      </c>
      <c r="D17" s="9">
        <f>HLOOKUP($C17,Calculator!$D$19:$J$21,3,FALSE)</f>
        <v>0</v>
      </c>
      <c r="E17" s="9" t="s">
        <v>60</v>
      </c>
      <c r="F17" s="9" t="s">
        <v>30</v>
      </c>
      <c r="G17" s="3" t="b">
        <f t="shared" si="8"/>
        <v>1</v>
      </c>
      <c r="H17" s="3" t="str">
        <f t="shared" si="9"/>
        <v>1</v>
      </c>
      <c r="I17" s="3">
        <f t="shared" si="10"/>
        <v>0</v>
      </c>
    </row>
    <row r="18" spans="1:9" x14ac:dyDescent="0.25">
      <c r="A18" s="7">
        <v>46015</v>
      </c>
      <c r="B18" s="8">
        <f t="shared" si="6"/>
        <v>46015</v>
      </c>
      <c r="C18" s="9">
        <f t="shared" si="7"/>
        <v>3</v>
      </c>
      <c r="D18" s="9">
        <f>HLOOKUP($C18,Calculator!$D$19:$J$21,3,FALSE)</f>
        <v>0</v>
      </c>
      <c r="E18" s="9" t="s">
        <v>60</v>
      </c>
      <c r="F18" s="9" t="s">
        <v>30</v>
      </c>
      <c r="G18" s="3" t="b">
        <f t="shared" si="8"/>
        <v>1</v>
      </c>
      <c r="H18" s="3" t="str">
        <f t="shared" si="9"/>
        <v>1</v>
      </c>
      <c r="I18" s="3">
        <f t="shared" si="10"/>
        <v>0</v>
      </c>
    </row>
    <row r="19" spans="1:9" x14ac:dyDescent="0.25">
      <c r="A19" s="7">
        <v>46016</v>
      </c>
      <c r="B19" s="8">
        <f t="shared" ref="B19:B21" si="11">A19</f>
        <v>46016</v>
      </c>
      <c r="C19" s="9">
        <f t="shared" ref="C19:C21" si="12">WEEKDAY(B19,2)</f>
        <v>4</v>
      </c>
      <c r="D19" s="9">
        <f>HLOOKUP($C19,Calculator!$D$19:$J$21,3,FALSE)</f>
        <v>0</v>
      </c>
      <c r="E19" s="9" t="s">
        <v>60</v>
      </c>
      <c r="F19" s="9" t="s">
        <v>31</v>
      </c>
      <c r="G19" s="3" t="b">
        <f t="shared" ref="G19:G21" si="13">AND(A19&gt;=$A$5,A19&lt;=$B$5)</f>
        <v>1</v>
      </c>
      <c r="H19" s="3" t="str">
        <f t="shared" ref="H19:H21" si="14">IF(G19=TRUE,"1","0")</f>
        <v>1</v>
      </c>
      <c r="I19" s="3">
        <f t="shared" ref="I19:I21" si="15">D19*H19</f>
        <v>0</v>
      </c>
    </row>
    <row r="20" spans="1:9" x14ac:dyDescent="0.25">
      <c r="A20" s="7">
        <v>46017</v>
      </c>
      <c r="B20" s="8">
        <f t="shared" si="11"/>
        <v>46017</v>
      </c>
      <c r="C20" s="9">
        <f t="shared" si="12"/>
        <v>5</v>
      </c>
      <c r="D20" s="9">
        <f>HLOOKUP($C20,Calculator!$D$19:$J$21,3,FALSE)</f>
        <v>0</v>
      </c>
      <c r="E20" s="9" t="s">
        <v>60</v>
      </c>
      <c r="F20" s="9" t="s">
        <v>31</v>
      </c>
      <c r="G20" s="3" t="b">
        <f t="shared" si="13"/>
        <v>1</v>
      </c>
      <c r="H20" s="3" t="str">
        <f t="shared" si="14"/>
        <v>1</v>
      </c>
      <c r="I20" s="3">
        <f t="shared" si="15"/>
        <v>0</v>
      </c>
    </row>
    <row r="21" spans="1:9" x14ac:dyDescent="0.25">
      <c r="A21" s="7">
        <v>46020</v>
      </c>
      <c r="B21" s="8">
        <f t="shared" si="11"/>
        <v>46020</v>
      </c>
      <c r="C21" s="9">
        <f t="shared" si="12"/>
        <v>1</v>
      </c>
      <c r="D21" s="9">
        <f>HLOOKUP($C21,Calculator!$D$19:$J$21,3,FALSE)</f>
        <v>0</v>
      </c>
      <c r="E21" s="9" t="s">
        <v>60</v>
      </c>
      <c r="F21" s="9" t="s">
        <v>30</v>
      </c>
      <c r="G21" s="3" t="b">
        <f t="shared" si="13"/>
        <v>1</v>
      </c>
      <c r="H21" s="3" t="str">
        <f t="shared" si="14"/>
        <v>1</v>
      </c>
      <c r="I21" s="3">
        <f t="shared" si="15"/>
        <v>0</v>
      </c>
    </row>
    <row r="22" spans="1:9" x14ac:dyDescent="0.25">
      <c r="A22" s="7">
        <v>46021</v>
      </c>
      <c r="B22" s="8">
        <f t="shared" ref="B22:B23" si="16">A22</f>
        <v>46021</v>
      </c>
      <c r="C22" s="9">
        <f t="shared" ref="C22:C23" si="17">WEEKDAY(B22,2)</f>
        <v>2</v>
      </c>
      <c r="D22" s="9">
        <f>HLOOKUP($C22,Calculator!$D$19:$J$21,3,FALSE)</f>
        <v>0</v>
      </c>
      <c r="E22" s="9" t="s">
        <v>60</v>
      </c>
      <c r="F22" s="9" t="s">
        <v>30</v>
      </c>
      <c r="G22" s="3" t="b">
        <f t="shared" ref="G22:G23" si="18">AND(A22&gt;=$A$5,A22&lt;=$B$5)</f>
        <v>1</v>
      </c>
      <c r="H22" s="3" t="str">
        <f t="shared" ref="H22:H23" si="19">IF(G22=TRUE,"1","0")</f>
        <v>1</v>
      </c>
      <c r="I22" s="3">
        <f t="shared" ref="I22:I23" si="20">D22*H22</f>
        <v>0</v>
      </c>
    </row>
    <row r="23" spans="1:9" x14ac:dyDescent="0.25">
      <c r="A23" s="7">
        <v>46022</v>
      </c>
      <c r="B23" s="8">
        <f t="shared" si="16"/>
        <v>46022</v>
      </c>
      <c r="C23" s="9">
        <f t="shared" si="17"/>
        <v>3</v>
      </c>
      <c r="D23" s="9">
        <f>HLOOKUP($C23,Calculator!$D$19:$J$21,3,FALSE)</f>
        <v>0</v>
      </c>
      <c r="E23" s="9" t="s">
        <v>60</v>
      </c>
      <c r="F23" s="9" t="s">
        <v>30</v>
      </c>
      <c r="G23" s="3" t="b">
        <f t="shared" si="18"/>
        <v>1</v>
      </c>
      <c r="H23" s="3" t="str">
        <f t="shared" si="19"/>
        <v>1</v>
      </c>
      <c r="I23" s="3">
        <f t="shared" si="20"/>
        <v>0</v>
      </c>
    </row>
    <row r="26" spans="1:9" ht="14.25" customHeight="1" x14ac:dyDescent="0.25">
      <c r="C26" t="s">
        <v>61</v>
      </c>
      <c r="D26" t="s">
        <v>62</v>
      </c>
      <c r="G26" t="s">
        <v>63</v>
      </c>
      <c r="H26" t="s">
        <v>64</v>
      </c>
      <c r="I26" t="s">
        <v>65</v>
      </c>
    </row>
    <row r="30" spans="1:9" x14ac:dyDescent="0.25">
      <c r="A30" t="s">
        <v>66</v>
      </c>
    </row>
    <row r="31" spans="1:9" x14ac:dyDescent="0.25">
      <c r="A31" t="s">
        <v>2</v>
      </c>
    </row>
    <row r="32" spans="1:9" x14ac:dyDescent="0.25">
      <c r="A32" t="s">
        <v>67</v>
      </c>
    </row>
    <row r="33" spans="1:1" x14ac:dyDescent="0.25">
      <c r="A33" t="s">
        <v>73</v>
      </c>
    </row>
  </sheetData>
  <dataValidations count="1">
    <dataValidation type="list" allowBlank="1" showInputMessage="1" showErrorMessage="1" sqref="A36" xr:uid="{E12822AD-4585-499E-975C-B5300716D7A8}">
      <formula1>$A$31:$A$33</formula1>
    </dataValidation>
  </dataValidations>
  <pageMargins left="0.7" right="0.7" top="0.75" bottom="0.75" header="0.3" footer="0.3"/>
  <pageSetup paperSize="9" orientation="portrait" r:id="rId1"/>
  <ignoredErrors>
    <ignoredError sqref="B10:C1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bf67458-20a2-496d-af44-595d3bde3774">
      <Terms xmlns="http://schemas.microsoft.com/office/infopath/2007/PartnerControls"/>
    </lcf76f155ced4ddcb4097134ff3c332f>
    <TaxCatchAll xmlns="efcb24f6-cb70-4796-a1c5-cfa3ac24e52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8F356300EB5249AA15E291113E2EC3" ma:contentTypeVersion="16" ma:contentTypeDescription="Create a new document." ma:contentTypeScope="" ma:versionID="7c16c6baa21bf8e13144ffe75d7f137b">
  <xsd:schema xmlns:xsd="http://www.w3.org/2001/XMLSchema" xmlns:xs="http://www.w3.org/2001/XMLSchema" xmlns:p="http://schemas.microsoft.com/office/2006/metadata/properties" xmlns:ns2="dbf67458-20a2-496d-af44-595d3bde3774" xmlns:ns3="efcb24f6-cb70-4796-a1c5-cfa3ac24e526" targetNamespace="http://schemas.microsoft.com/office/2006/metadata/properties" ma:root="true" ma:fieldsID="022e932c8094b9a3f26af6e814264b7f" ns2:_="" ns3:_="">
    <xsd:import namespace="dbf67458-20a2-496d-af44-595d3bde3774"/>
    <xsd:import namespace="efcb24f6-cb70-4796-a1c5-cfa3ac24e5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67458-20a2-496d-af44-595d3bde37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c64bf66-3ab6-4740-8ae4-bf44781f38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b24f6-cb70-4796-a1c5-cfa3ac24e5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8e92bff-7129-49d3-98a7-716ec9669248}" ma:internalName="TaxCatchAll" ma:showField="CatchAllData" ma:web="efcb24f6-cb70-4796-a1c5-cfa3ac24e5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25641A-ED1B-40D6-85AC-475607C019D2}">
  <ds:schemaRefs>
    <ds:schemaRef ds:uri="http://schemas.microsoft.com/office/2006/documentManagement/types"/>
    <ds:schemaRef ds:uri="http://schemas.microsoft.com/office/infopath/2007/PartnerControls"/>
    <ds:schemaRef ds:uri="dbf67458-20a2-496d-af44-595d3bde3774"/>
    <ds:schemaRef ds:uri="http://www.w3.org/XML/1998/namespace"/>
    <ds:schemaRef ds:uri="http://purl.org/dc/terms/"/>
    <ds:schemaRef ds:uri="http://purl.org/dc/elements/1.1/"/>
    <ds:schemaRef ds:uri="http://schemas.microsoft.com/office/2006/metadata/properties"/>
    <ds:schemaRef ds:uri="efcb24f6-cb70-4796-a1c5-cfa3ac24e526"/>
    <ds:schemaRef ds:uri="http://purl.org/dc/dcmitype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C4509032-A1FA-4CC9-A00B-599C75647E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F6E21E-66FE-4114-AA93-38ED57D954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f67458-20a2-496d-af44-595d3bde3774"/>
    <ds:schemaRef ds:uri="efcb24f6-cb70-4796-a1c5-cfa3ac24e5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Calculator</vt:lpstr>
      <vt:lpstr>Data</vt:lpstr>
      <vt:lpstr>Grade</vt:lpstr>
      <vt:lpstr>Grades</vt:lpstr>
    </vt:vector>
  </TitlesOfParts>
  <Manager/>
  <Company>University of Essex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Fidgett, Carly J</dc:creator>
  <cp:keywords/>
  <dc:description/>
  <cp:lastModifiedBy>De-Iacovo,G</cp:lastModifiedBy>
  <cp:revision/>
  <dcterms:created xsi:type="dcterms:W3CDTF">2015-05-29T12:02:28Z</dcterms:created>
  <dcterms:modified xsi:type="dcterms:W3CDTF">2025-01-28T16:16:08Z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0x010100048F356300EB5249AA15E291113E2EC3</vt:lpwstr>
  </property>
  <property fmtid="{D5CDD505-2E9C-101B-9397-08002B2CF9AE}" pid="3" name="MediaServiceImageTags">
    <vt:lpwstr/>
  </property>
</Properties>
</file>